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5521" windowWidth="12405" windowHeight="13275" activeTab="0"/>
  </bookViews>
  <sheets>
    <sheet name="Inventaire Ogame" sheetId="1" r:id="rId1"/>
    <sheet name="Espionnage planètes" sheetId="2" r:id="rId2"/>
  </sheets>
  <definedNames>
    <definedName name="_xlnm._FilterDatabase" localSheetId="1" hidden="1">'Espionnage planètes'!$A$2:$F$2</definedName>
  </definedNames>
  <calcPr fullCalcOnLoad="1"/>
</workbook>
</file>

<file path=xl/sharedStrings.xml><?xml version="1.0" encoding="utf-8"?>
<sst xmlns="http://schemas.openxmlformats.org/spreadsheetml/2006/main" count="152" uniqueCount="107">
  <si>
    <t>Planète</t>
  </si>
  <si>
    <t>Position</t>
  </si>
  <si>
    <t>Mines</t>
  </si>
  <si>
    <t>Métal</t>
  </si>
  <si>
    <t>Cristal</t>
  </si>
  <si>
    <t>Deutérium</t>
  </si>
  <si>
    <t>Energie</t>
  </si>
  <si>
    <t>Centrale solaire</t>
  </si>
  <si>
    <t>Centrale fusion</t>
  </si>
  <si>
    <t>Construction et technologie</t>
  </si>
  <si>
    <t>Usine de robots</t>
  </si>
  <si>
    <t>Chantier spatial</t>
  </si>
  <si>
    <t>Laboratoire de recherche</t>
  </si>
  <si>
    <t>Espionnage</t>
  </si>
  <si>
    <t>Ordinateur</t>
  </si>
  <si>
    <t>Arme</t>
  </si>
  <si>
    <t>Bouclier</t>
  </si>
  <si>
    <t>Protection des vaisseaux</t>
  </si>
  <si>
    <t>Hyperespace</t>
  </si>
  <si>
    <t>Réacteur à combustion</t>
  </si>
  <si>
    <t>Réacteur à impulsion</t>
  </si>
  <si>
    <t>Propulsion hyperespace</t>
  </si>
  <si>
    <t>Laser</t>
  </si>
  <si>
    <t>Ions</t>
  </si>
  <si>
    <t>Plasma</t>
  </si>
  <si>
    <t>Réseau de recherche</t>
  </si>
  <si>
    <t>Graviton</t>
  </si>
  <si>
    <t>Lanceur de missiles</t>
  </si>
  <si>
    <t>Artillerie Laser légère</t>
  </si>
  <si>
    <t>Artillerie Laser lourde</t>
  </si>
  <si>
    <t>Canon de Gauss</t>
  </si>
  <si>
    <t>Artillerie à ions</t>
  </si>
  <si>
    <t>Lanceur de plasma</t>
  </si>
  <si>
    <t>Petit bouclier</t>
  </si>
  <si>
    <t>Grand bouclier</t>
  </si>
  <si>
    <t>Missile interception</t>
  </si>
  <si>
    <t>Missile interplanétaire</t>
  </si>
  <si>
    <t>Cases maximum</t>
  </si>
  <si>
    <t>Défense (nombre d'unités par planète)</t>
  </si>
  <si>
    <t xml:space="preserve">Cristal </t>
  </si>
  <si>
    <t>Dernière mise à jour le</t>
  </si>
  <si>
    <t>Satellite solaire (nombre)</t>
  </si>
  <si>
    <t>% occupée</t>
  </si>
  <si>
    <t>Cases occupées</t>
  </si>
  <si>
    <t>Température max</t>
  </si>
  <si>
    <t>Production max théorique</t>
  </si>
  <si>
    <t>Production</t>
  </si>
  <si>
    <t>Somme par planète</t>
  </si>
  <si>
    <t>Stocks</t>
  </si>
  <si>
    <t>TOTAL</t>
  </si>
  <si>
    <t>Ogame : Inventaire des planètes, technologies, défenses et stocks</t>
  </si>
  <si>
    <t>Hangar de métal</t>
  </si>
  <si>
    <t>Hangar de cristal</t>
  </si>
  <si>
    <t>Hangar de deutérium</t>
  </si>
  <si>
    <t>Consommation énergie</t>
  </si>
  <si>
    <t>Consommation deutérium</t>
  </si>
  <si>
    <t>Objectif</t>
  </si>
  <si>
    <t>Graphiques d'occupation et de niveau des mines</t>
  </si>
  <si>
    <t>Ressources requises (niveau supérieur)</t>
  </si>
  <si>
    <t>Somme des productions  par heure</t>
  </si>
  <si>
    <t>Quantité maximum (k)</t>
  </si>
  <si>
    <t>Prod. pour 1 satellite (max : 51)</t>
  </si>
  <si>
    <t>Silos de missiles</t>
  </si>
  <si>
    <t>Usine de nanites</t>
  </si>
  <si>
    <t>Terraformeur</t>
  </si>
  <si>
    <r>
      <t>Technologies (niveaux de développement - (</t>
    </r>
    <r>
      <rPr>
        <b/>
        <i/>
        <sz val="10"/>
        <color indexed="9"/>
        <rFont val="Arial"/>
        <family val="2"/>
      </rPr>
      <t>objectif</t>
    </r>
    <r>
      <rPr>
        <b/>
        <sz val="10"/>
        <color indexed="9"/>
        <rFont val="Arial"/>
        <family val="2"/>
      </rPr>
      <t>) - RENSEIGNER UNIQUEMENT LA COLONNE DE LA PREMIÈRE PLANÈTE )</t>
    </r>
  </si>
  <si>
    <t>Somme unités défense</t>
  </si>
  <si>
    <t>Valeur d'attaque défense</t>
  </si>
  <si>
    <t>NE PAS EFFACER</t>
  </si>
  <si>
    <t>Nombre de points recherche</t>
  </si>
  <si>
    <t>Calcul des stocks de ressources sur l'ensemble des colonies en 24h (hypothèse stock = 0)</t>
  </si>
  <si>
    <t>(Prix du niveau objectif)</t>
  </si>
  <si>
    <t>Petit transporteur</t>
  </si>
  <si>
    <t>Grand transporteur</t>
  </si>
  <si>
    <t>Chasseur léger</t>
  </si>
  <si>
    <t>Chasseur lourd</t>
  </si>
  <si>
    <t>Croiseur</t>
  </si>
  <si>
    <t>Vaisseau de bataille</t>
  </si>
  <si>
    <t>Vaisseau de colonisation</t>
  </si>
  <si>
    <t>Recycleur</t>
  </si>
  <si>
    <t>Sonde espionnage</t>
  </si>
  <si>
    <t>Bombardier</t>
  </si>
  <si>
    <t>Destructeur</t>
  </si>
  <si>
    <t>Etoile de la mort</t>
  </si>
  <si>
    <t>Traqueur</t>
  </si>
  <si>
    <t>Flotte type (nombre d'unités)</t>
  </si>
  <si>
    <t>Espionnage sur un mois</t>
  </si>
  <si>
    <t>Planète espionnée</t>
  </si>
  <si>
    <t>Attaquant</t>
  </si>
  <si>
    <t>coordonnées</t>
  </si>
  <si>
    <t>Date</t>
  </si>
  <si>
    <t>Probabilité destruction</t>
  </si>
  <si>
    <t>Nombre de visites</t>
  </si>
  <si>
    <t>Atteint en jours</t>
  </si>
  <si>
    <t>Stock en cours</t>
  </si>
  <si>
    <t>Reste</t>
  </si>
  <si>
    <t>Lune</t>
  </si>
  <si>
    <t>Diamètre</t>
  </si>
  <si>
    <t>Température</t>
  </si>
  <si>
    <t>Cases</t>
  </si>
  <si>
    <t>Base lunaire</t>
  </si>
  <si>
    <t>Phalange de capteur</t>
  </si>
  <si>
    <t>Porte de saut spatial</t>
  </si>
  <si>
    <t xml:space="preserve"> sytèmes environnants</t>
  </si>
  <si>
    <t>Portée phalange (par rapport à objectif)</t>
  </si>
  <si>
    <t>Créé</t>
  </si>
  <si>
    <t>Version 1.8.7 par MsieurDams / Alliance M.C.M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</si>
</sst>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&quot;Vrai&quot;;&quot;Vrai&quot;;&quot;Faux&quot;"/>
    <numFmt numFmtId="171" formatCode="&quot;Actif&quot;;&quot;Actif&quot;;&quot;Inactif&quot;"/>
    <numFmt numFmtId="172" formatCode="0.00000000"/>
    <numFmt numFmtId="173" formatCode="0.0000000"/>
    <numFmt numFmtId="174" formatCode="0.000000"/>
    <numFmt numFmtId="175" formatCode="[$-40C]dddd\ d\ mmmm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i/>
      <sz val="10"/>
      <color indexed="9"/>
      <name val="Arial"/>
      <family val="2"/>
    </font>
    <font>
      <sz val="2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5.25"/>
      <name val="Arial"/>
      <family val="2"/>
    </font>
    <font>
      <sz val="4.75"/>
      <name val="Arial"/>
      <family val="0"/>
    </font>
    <font>
      <b/>
      <sz val="5.25"/>
      <name val="Arial"/>
      <family val="2"/>
    </font>
    <font>
      <b/>
      <sz val="4.75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6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sz val="10"/>
      <color indexed="57"/>
      <name val="Arial"/>
      <family val="2"/>
    </font>
    <font>
      <b/>
      <sz val="4.75"/>
      <color indexed="13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indexed="42"/>
      <name val="Arial"/>
      <family val="0"/>
    </font>
    <font>
      <b/>
      <sz val="11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medium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ck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/>
      <protection/>
    </xf>
    <xf numFmtId="0" fontId="24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4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0" fontId="2" fillId="2" borderId="26" xfId="0" applyNumberFormat="1" applyFont="1" applyFill="1" applyBorder="1" applyAlignment="1" applyProtection="1">
      <alignment horizontal="center"/>
      <protection locked="0"/>
    </xf>
    <xf numFmtId="0" fontId="2" fillId="2" borderId="26" xfId="0" applyNumberFormat="1" applyFont="1" applyFill="1" applyBorder="1" applyAlignment="1" applyProtection="1">
      <alignment horizontal="center"/>
      <protection/>
    </xf>
    <xf numFmtId="0" fontId="24" fillId="2" borderId="26" xfId="0" applyFon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169" fontId="2" fillId="2" borderId="34" xfId="0" applyNumberFormat="1" applyFont="1" applyFill="1" applyBorder="1" applyAlignment="1" applyProtection="1">
      <alignment horizontal="center"/>
      <protection/>
    </xf>
    <xf numFmtId="169" fontId="2" fillId="2" borderId="35" xfId="0" applyNumberFormat="1" applyFont="1" applyFill="1" applyBorder="1" applyAlignment="1" applyProtection="1">
      <alignment horizontal="center"/>
      <protection/>
    </xf>
    <xf numFmtId="9" fontId="2" fillId="2" borderId="35" xfId="19" applyFont="1" applyFill="1" applyBorder="1" applyAlignment="1" applyProtection="1">
      <alignment horizontal="center"/>
      <protection/>
    </xf>
    <xf numFmtId="9" fontId="2" fillId="2" borderId="36" xfId="19" applyFont="1" applyFill="1" applyBorder="1" applyAlignment="1" applyProtection="1">
      <alignment horizontal="center"/>
      <protection/>
    </xf>
    <xf numFmtId="9" fontId="2" fillId="2" borderId="37" xfId="19" applyFont="1" applyFill="1" applyBorder="1" applyAlignment="1" applyProtection="1">
      <alignment horizontal="center" vertical="center" wrapText="1"/>
      <protection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/>
      <protection locked="0"/>
    </xf>
    <xf numFmtId="0" fontId="2" fillId="3" borderId="40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3" fontId="13" fillId="5" borderId="17" xfId="0" applyNumberFormat="1" applyFont="1" applyFill="1" applyBorder="1" applyAlignment="1" applyProtection="1">
      <alignment horizontal="center"/>
      <protection/>
    </xf>
    <xf numFmtId="3" fontId="0" fillId="6" borderId="18" xfId="0" applyNumberFormat="1" applyFill="1" applyBorder="1" applyAlignment="1" applyProtection="1">
      <alignment horizontal="center"/>
      <protection locked="0"/>
    </xf>
    <xf numFmtId="0" fontId="23" fillId="3" borderId="40" xfId="0" applyFont="1" applyFill="1" applyBorder="1" applyAlignment="1" applyProtection="1">
      <alignment horizontal="right"/>
      <protection locked="0"/>
    </xf>
    <xf numFmtId="1" fontId="7" fillId="7" borderId="17" xfId="0" applyNumberFormat="1" applyFont="1" applyFill="1" applyBorder="1" applyAlignment="1" applyProtection="1">
      <alignment horizontal="center"/>
      <protection/>
    </xf>
    <xf numFmtId="0" fontId="7" fillId="6" borderId="17" xfId="0" applyFont="1" applyFill="1" applyBorder="1" applyAlignment="1" applyProtection="1">
      <alignment horizontal="center"/>
      <protection locked="0"/>
    </xf>
    <xf numFmtId="3" fontId="0" fillId="6" borderId="17" xfId="0" applyNumberFormat="1" applyFill="1" applyBorder="1" applyAlignment="1" applyProtection="1">
      <alignment horizontal="center"/>
      <protection locked="0"/>
    </xf>
    <xf numFmtId="0" fontId="13" fillId="8" borderId="40" xfId="0" applyFont="1" applyFill="1" applyBorder="1" applyAlignment="1" applyProtection="1">
      <alignment horizontal="right"/>
      <protection locked="0"/>
    </xf>
    <xf numFmtId="1" fontId="13" fillId="9" borderId="17" xfId="0" applyNumberFormat="1" applyFont="1" applyFill="1" applyBorder="1" applyAlignment="1" applyProtection="1">
      <alignment horizontal="center"/>
      <protection/>
    </xf>
    <xf numFmtId="1" fontId="13" fillId="9" borderId="17" xfId="0" applyNumberFormat="1" applyFont="1" applyFill="1" applyBorder="1" applyAlignment="1" applyProtection="1">
      <alignment horizontal="center"/>
      <protection locked="0"/>
    </xf>
    <xf numFmtId="1" fontId="13" fillId="9" borderId="18" xfId="0" applyNumberFormat="1" applyFont="1" applyFill="1" applyBorder="1" applyAlignment="1" applyProtection="1">
      <alignment horizontal="center"/>
      <protection locked="0"/>
    </xf>
    <xf numFmtId="3" fontId="0" fillId="10" borderId="17" xfId="0" applyNumberFormat="1" applyFill="1" applyBorder="1" applyAlignment="1" applyProtection="1">
      <alignment horizontal="center"/>
      <protection locked="0"/>
    </xf>
    <xf numFmtId="3" fontId="0" fillId="10" borderId="18" xfId="0" applyNumberFormat="1" applyFill="1" applyBorder="1" applyAlignment="1" applyProtection="1">
      <alignment horizontal="center"/>
      <protection locked="0"/>
    </xf>
    <xf numFmtId="0" fontId="13" fillId="8" borderId="41" xfId="0" applyFont="1" applyFill="1" applyBorder="1" applyAlignment="1" applyProtection="1">
      <alignment horizontal="right"/>
      <protection locked="0"/>
    </xf>
    <xf numFmtId="1" fontId="13" fillId="9" borderId="42" xfId="0" applyNumberFormat="1" applyFont="1" applyFill="1" applyBorder="1" applyAlignment="1" applyProtection="1">
      <alignment horizontal="center"/>
      <protection/>
    </xf>
    <xf numFmtId="1" fontId="13" fillId="9" borderId="42" xfId="0" applyNumberFormat="1" applyFont="1" applyFill="1" applyBorder="1" applyAlignment="1" applyProtection="1">
      <alignment horizontal="center"/>
      <protection locked="0"/>
    </xf>
    <xf numFmtId="1" fontId="13" fillId="9" borderId="43" xfId="0" applyNumberFormat="1" applyFont="1" applyFill="1" applyBorder="1" applyAlignment="1" applyProtection="1">
      <alignment horizontal="center"/>
      <protection locked="0"/>
    </xf>
    <xf numFmtId="0" fontId="13" fillId="3" borderId="39" xfId="0" applyFont="1" applyFill="1" applyBorder="1" applyAlignment="1" applyProtection="1">
      <alignment/>
      <protection locked="0"/>
    </xf>
    <xf numFmtId="0" fontId="13" fillId="3" borderId="44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/>
    </xf>
    <xf numFmtId="0" fontId="0" fillId="7" borderId="17" xfId="0" applyFill="1" applyBorder="1" applyAlignment="1" applyProtection="1">
      <alignment horizontal="center"/>
      <protection locked="0"/>
    </xf>
    <xf numFmtId="3" fontId="13" fillId="5" borderId="17" xfId="0" applyNumberFormat="1" applyFont="1" applyFill="1" applyBorder="1" applyAlignment="1" applyProtection="1">
      <alignment horizontal="center"/>
      <protection locked="0"/>
    </xf>
    <xf numFmtId="3" fontId="13" fillId="5" borderId="18" xfId="0" applyNumberFormat="1" applyFont="1" applyFill="1" applyBorder="1" applyAlignment="1" applyProtection="1">
      <alignment horizontal="center"/>
      <protection locked="0"/>
    </xf>
    <xf numFmtId="0" fontId="23" fillId="3" borderId="40" xfId="0" applyFont="1" applyFill="1" applyBorder="1" applyAlignment="1" applyProtection="1">
      <alignment/>
      <protection locked="0"/>
    </xf>
    <xf numFmtId="0" fontId="7" fillId="7" borderId="17" xfId="0" applyFont="1" applyFill="1" applyBorder="1" applyAlignment="1" applyProtection="1">
      <alignment horizontal="center"/>
      <protection/>
    </xf>
    <xf numFmtId="0" fontId="19" fillId="6" borderId="17" xfId="0" applyFont="1" applyFill="1" applyBorder="1" applyAlignment="1" applyProtection="1">
      <alignment horizontal="center"/>
      <protection locked="0"/>
    </xf>
    <xf numFmtId="3" fontId="13" fillId="5" borderId="18" xfId="0" applyNumberFormat="1" applyFont="1" applyFill="1" applyBorder="1" applyAlignment="1" applyProtection="1">
      <alignment horizontal="center"/>
      <protection/>
    </xf>
    <xf numFmtId="0" fontId="13" fillId="3" borderId="40" xfId="0" applyFont="1" applyFill="1" applyBorder="1" applyAlignment="1" applyProtection="1">
      <alignment horizontal="right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right"/>
      <protection locked="0"/>
    </xf>
    <xf numFmtId="0" fontId="0" fillId="7" borderId="42" xfId="0" applyFill="1" applyBorder="1" applyAlignment="1" applyProtection="1">
      <alignment horizontal="center"/>
      <protection/>
    </xf>
    <xf numFmtId="0" fontId="0" fillId="7" borderId="42" xfId="0" applyFill="1" applyBorder="1" applyAlignment="1" applyProtection="1">
      <alignment horizontal="center"/>
      <protection locked="0"/>
    </xf>
    <xf numFmtId="0" fontId="1" fillId="6" borderId="42" xfId="0" applyFont="1" applyFill="1" applyBorder="1" applyAlignment="1" applyProtection="1">
      <alignment horizontal="center"/>
      <protection locked="0"/>
    </xf>
    <xf numFmtId="3" fontId="0" fillId="6" borderId="42" xfId="0" applyNumberFormat="1" applyFill="1" applyBorder="1" applyAlignment="1" applyProtection="1">
      <alignment horizontal="center"/>
      <protection locked="0"/>
    </xf>
    <xf numFmtId="3" fontId="0" fillId="6" borderId="43" xfId="0" applyNumberFormat="1" applyFill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/>
      <protection locked="0"/>
    </xf>
    <xf numFmtId="0" fontId="7" fillId="7" borderId="17" xfId="0" applyFont="1" applyFill="1" applyBorder="1" applyAlignment="1" applyProtection="1">
      <alignment horizontal="center"/>
      <protection/>
    </xf>
    <xf numFmtId="0" fontId="6" fillId="6" borderId="17" xfId="0" applyFont="1" applyFill="1" applyBorder="1" applyAlignment="1" applyProtection="1">
      <alignment horizontal="center"/>
      <protection locked="0"/>
    </xf>
    <xf numFmtId="3" fontId="6" fillId="6" borderId="17" xfId="0" applyNumberFormat="1" applyFont="1" applyFill="1" applyBorder="1" applyAlignment="1" applyProtection="1">
      <alignment horizontal="center"/>
      <protection locked="0"/>
    </xf>
    <xf numFmtId="3" fontId="6" fillId="6" borderId="18" xfId="0" applyNumberFormat="1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23" fillId="3" borderId="41" xfId="0" applyFont="1" applyFill="1" applyBorder="1" applyAlignment="1" applyProtection="1">
      <alignment horizontal="right"/>
      <protection locked="0"/>
    </xf>
    <xf numFmtId="0" fontId="7" fillId="7" borderId="42" xfId="0" applyFont="1" applyFill="1" applyBorder="1" applyAlignment="1" applyProtection="1">
      <alignment horizontal="center"/>
      <protection/>
    </xf>
    <xf numFmtId="0" fontId="6" fillId="6" borderId="42" xfId="0" applyFont="1" applyFill="1" applyBorder="1" applyAlignment="1" applyProtection="1">
      <alignment horizontal="center"/>
      <protection locked="0"/>
    </xf>
    <xf numFmtId="3" fontId="6" fillId="6" borderId="42" xfId="0" applyNumberFormat="1" applyFont="1" applyFill="1" applyBorder="1" applyAlignment="1" applyProtection="1">
      <alignment horizontal="center"/>
      <protection locked="0"/>
    </xf>
    <xf numFmtId="3" fontId="6" fillId="6" borderId="43" xfId="0" applyNumberFormat="1" applyFont="1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/>
    </xf>
    <xf numFmtId="0" fontId="4" fillId="3" borderId="41" xfId="0" applyFont="1" applyFill="1" applyBorder="1" applyAlignment="1" applyProtection="1">
      <alignment/>
      <protection locked="0"/>
    </xf>
    <xf numFmtId="0" fontId="0" fillId="11" borderId="42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3" fontId="13" fillId="5" borderId="42" xfId="0" applyNumberFormat="1" applyFont="1" applyFill="1" applyBorder="1" applyAlignment="1" applyProtection="1">
      <alignment horizontal="center"/>
      <protection locked="0"/>
    </xf>
    <xf numFmtId="3" fontId="13" fillId="5" borderId="43" xfId="0" applyNumberFormat="1" applyFont="1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/>
    </xf>
    <xf numFmtId="0" fontId="13" fillId="3" borderId="44" xfId="0" applyFont="1" applyFill="1" applyBorder="1" applyAlignment="1" applyProtection="1">
      <alignment/>
      <protection locked="0"/>
    </xf>
    <xf numFmtId="0" fontId="13" fillId="3" borderId="45" xfId="0" applyFont="1" applyFill="1" applyBorder="1" applyAlignment="1" applyProtection="1">
      <alignment/>
      <protection locked="0"/>
    </xf>
    <xf numFmtId="0" fontId="13" fillId="3" borderId="17" xfId="0" applyFont="1" applyFill="1" applyBorder="1" applyAlignment="1" applyProtection="1">
      <alignment/>
      <protection locked="0"/>
    </xf>
    <xf numFmtId="0" fontId="13" fillId="3" borderId="18" xfId="0" applyFont="1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4" fillId="5" borderId="17" xfId="0" applyFont="1" applyFill="1" applyBorder="1" applyAlignment="1" applyProtection="1">
      <alignment horizontal="center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/>
      <protection locked="0"/>
    </xf>
    <xf numFmtId="3" fontId="4" fillId="5" borderId="42" xfId="0" applyNumberFormat="1" applyFont="1" applyFill="1" applyBorder="1" applyAlignment="1" applyProtection="1">
      <alignment horizontal="center"/>
      <protection/>
    </xf>
    <xf numFmtId="3" fontId="4" fillId="5" borderId="42" xfId="0" applyNumberFormat="1" applyFont="1" applyFill="1" applyBorder="1" applyAlignment="1" applyProtection="1">
      <alignment horizontal="center"/>
      <protection locked="0"/>
    </xf>
    <xf numFmtId="0" fontId="1" fillId="5" borderId="42" xfId="0" applyFon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13" fillId="3" borderId="40" xfId="0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3" fontId="13" fillId="5" borderId="17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/>
      <protection locked="0"/>
    </xf>
    <xf numFmtId="3" fontId="4" fillId="5" borderId="47" xfId="0" applyNumberFormat="1" applyFont="1" applyFill="1" applyBorder="1" applyAlignment="1" applyProtection="1">
      <alignment horizontal="center"/>
      <protection/>
    </xf>
    <xf numFmtId="3" fontId="4" fillId="5" borderId="47" xfId="0" applyNumberFormat="1" applyFont="1" applyFill="1" applyBorder="1" applyAlignment="1" applyProtection="1">
      <alignment horizontal="center"/>
      <protection locked="0"/>
    </xf>
    <xf numFmtId="0" fontId="1" fillId="2" borderId="47" xfId="0" applyFon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13" fillId="3" borderId="49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3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0" fontId="13" fillId="3" borderId="50" xfId="0" applyFont="1" applyFill="1" applyBorder="1" applyAlignment="1" applyProtection="1">
      <alignment horizontal="center"/>
      <protection locked="0"/>
    </xf>
    <xf numFmtId="0" fontId="13" fillId="3" borderId="51" xfId="0" applyFont="1" applyFill="1" applyBorder="1" applyAlignment="1" applyProtection="1">
      <alignment horizontal="center"/>
      <protection locked="0"/>
    </xf>
    <xf numFmtId="0" fontId="13" fillId="3" borderId="52" xfId="0" applyFont="1" applyFill="1" applyBorder="1" applyAlignment="1" applyProtection="1">
      <alignment horizontal="center"/>
      <protection locked="0"/>
    </xf>
    <xf numFmtId="0" fontId="13" fillId="3" borderId="53" xfId="0" applyFont="1" applyFill="1" applyBorder="1" applyAlignment="1" applyProtection="1">
      <alignment horizontal="center"/>
      <protection locked="0"/>
    </xf>
    <xf numFmtId="9" fontId="13" fillId="5" borderId="18" xfId="19" applyFont="1" applyFill="1" applyBorder="1" applyAlignment="1" applyProtection="1">
      <alignment horizontal="center"/>
      <protection/>
    </xf>
    <xf numFmtId="9" fontId="13" fillId="5" borderId="48" xfId="19" applyFont="1" applyFill="1" applyBorder="1" applyAlignment="1" applyProtection="1">
      <alignment horizontal="center"/>
      <protection/>
    </xf>
    <xf numFmtId="0" fontId="13" fillId="2" borderId="49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/>
      <protection/>
    </xf>
    <xf numFmtId="3" fontId="2" fillId="5" borderId="17" xfId="0" applyNumberFormat="1" applyFont="1" applyFill="1" applyBorder="1" applyAlignment="1" applyProtection="1">
      <alignment horizontal="center"/>
      <protection/>
    </xf>
    <xf numFmtId="0" fontId="13" fillId="3" borderId="46" xfId="0" applyFont="1" applyFill="1" applyBorder="1" applyAlignment="1" applyProtection="1">
      <alignment horizontal="center"/>
      <protection locked="0"/>
    </xf>
    <xf numFmtId="3" fontId="0" fillId="4" borderId="47" xfId="0" applyNumberFormat="1" applyFill="1" applyBorder="1" applyAlignment="1" applyProtection="1">
      <alignment horizontal="center"/>
      <protection/>
    </xf>
    <xf numFmtId="3" fontId="13" fillId="5" borderId="47" xfId="0" applyNumberFormat="1" applyFont="1" applyFill="1" applyBorder="1" applyAlignment="1" applyProtection="1">
      <alignment horizontal="center"/>
      <protection locked="0"/>
    </xf>
    <xf numFmtId="3" fontId="2" fillId="5" borderId="47" xfId="0" applyNumberFormat="1" applyFont="1" applyFill="1" applyBorder="1" applyAlignment="1" applyProtection="1">
      <alignment horizontal="center"/>
      <protection/>
    </xf>
    <xf numFmtId="3" fontId="13" fillId="5" borderId="48" xfId="0" applyNumberFormat="1" applyFont="1" applyFill="1" applyBorder="1" applyAlignment="1" applyProtection="1">
      <alignment horizontal="center"/>
      <protection/>
    </xf>
    <xf numFmtId="0" fontId="13" fillId="3" borderId="56" xfId="0" applyFont="1" applyFill="1" applyBorder="1" applyAlignment="1" applyProtection="1">
      <alignment horizontal="center"/>
      <protection locked="0"/>
    </xf>
    <xf numFmtId="0" fontId="13" fillId="3" borderId="57" xfId="0" applyFont="1" applyFill="1" applyBorder="1" applyAlignment="1" applyProtection="1">
      <alignment horizontal="center"/>
      <protection locked="0"/>
    </xf>
    <xf numFmtId="0" fontId="13" fillId="3" borderId="58" xfId="0" applyFont="1" applyFill="1" applyBorder="1" applyAlignment="1" applyProtection="1">
      <alignment horizontal="center"/>
      <protection locked="0"/>
    </xf>
    <xf numFmtId="0" fontId="13" fillId="3" borderId="59" xfId="0" applyFont="1" applyFill="1" applyBorder="1" applyAlignment="1" applyProtection="1">
      <alignment horizontal="center"/>
      <protection locked="0"/>
    </xf>
    <xf numFmtId="0" fontId="13" fillId="3" borderId="60" xfId="0" applyFont="1" applyFill="1" applyBorder="1" applyAlignment="1" applyProtection="1">
      <alignment horizontal="center"/>
      <protection locked="0"/>
    </xf>
    <xf numFmtId="0" fontId="13" fillId="3" borderId="61" xfId="0" applyFont="1" applyFill="1" applyBorder="1" applyAlignment="1" applyProtection="1">
      <alignment horizontal="center"/>
      <protection locked="0"/>
    </xf>
    <xf numFmtId="0" fontId="13" fillId="3" borderId="62" xfId="0" applyFont="1" applyFill="1" applyBorder="1" applyAlignment="1" applyProtection="1">
      <alignment horizontal="center"/>
      <protection locked="0"/>
    </xf>
    <xf numFmtId="0" fontId="13" fillId="3" borderId="63" xfId="0" applyFont="1" applyFill="1" applyBorder="1" applyAlignment="1" applyProtection="1">
      <alignment horizontal="center"/>
      <protection locked="0"/>
    </xf>
    <xf numFmtId="0" fontId="13" fillId="3" borderId="64" xfId="0" applyFont="1" applyFill="1" applyBorder="1" applyAlignment="1" applyProtection="1">
      <alignment horizontal="center"/>
      <protection locked="0"/>
    </xf>
    <xf numFmtId="0" fontId="13" fillId="3" borderId="65" xfId="0" applyFont="1" applyFill="1" applyBorder="1" applyAlignment="1" applyProtection="1">
      <alignment horizontal="center"/>
      <protection locked="0"/>
    </xf>
    <xf numFmtId="0" fontId="13" fillId="3" borderId="66" xfId="0" applyFont="1" applyFill="1" applyBorder="1" applyAlignment="1" applyProtection="1">
      <alignment horizontal="center"/>
      <protection locked="0"/>
    </xf>
    <xf numFmtId="0" fontId="13" fillId="3" borderId="67" xfId="0" applyFont="1" applyFill="1" applyBorder="1" applyAlignment="1" applyProtection="1">
      <alignment horizontal="center"/>
      <protection locked="0"/>
    </xf>
    <xf numFmtId="0" fontId="13" fillId="3" borderId="68" xfId="0" applyFont="1" applyFill="1" applyBorder="1" applyAlignment="1" applyProtection="1">
      <alignment horizontal="center"/>
      <protection locked="0"/>
    </xf>
    <xf numFmtId="0" fontId="13" fillId="3" borderId="69" xfId="0" applyFont="1" applyFill="1" applyBorder="1" applyAlignment="1" applyProtection="1">
      <alignment horizontal="center"/>
      <protection locked="0"/>
    </xf>
    <xf numFmtId="0" fontId="0" fillId="3" borderId="67" xfId="0" applyFill="1" applyBorder="1" applyAlignment="1" applyProtection="1">
      <alignment horizontal="center"/>
      <protection locked="0"/>
    </xf>
    <xf numFmtId="0" fontId="0" fillId="3" borderId="68" xfId="0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0" fontId="0" fillId="3" borderId="64" xfId="0" applyFill="1" applyBorder="1" applyAlignment="1" applyProtection="1">
      <alignment horizontal="center"/>
      <protection locked="0"/>
    </xf>
    <xf numFmtId="0" fontId="0" fillId="3" borderId="65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13" fillId="3" borderId="7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2" borderId="71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13" fillId="2" borderId="72" xfId="0" applyFont="1" applyFill="1" applyBorder="1" applyAlignment="1" applyProtection="1">
      <alignment horizontal="center"/>
      <protection locked="0"/>
    </xf>
    <xf numFmtId="0" fontId="2" fillId="2" borderId="73" xfId="0" applyFont="1" applyFill="1" applyBorder="1" applyAlignment="1" applyProtection="1">
      <alignment horizontal="center" vertical="center" wrapText="1"/>
      <protection locked="0"/>
    </xf>
    <xf numFmtId="0" fontId="2" fillId="2" borderId="7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textRotation="180"/>
      <protection locked="0"/>
    </xf>
    <xf numFmtId="0" fontId="2" fillId="2" borderId="26" xfId="0" applyFont="1" applyFill="1" applyBorder="1" applyAlignment="1" applyProtection="1">
      <alignment horizontal="center" vertical="center" textRotation="180"/>
      <protection locked="0"/>
    </xf>
    <xf numFmtId="0" fontId="2" fillId="2" borderId="36" xfId="0" applyFont="1" applyFill="1" applyBorder="1" applyAlignment="1" applyProtection="1">
      <alignment horizontal="center" vertical="center" textRotation="180"/>
      <protection locked="0"/>
    </xf>
    <xf numFmtId="0" fontId="0" fillId="0" borderId="74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" fillId="2" borderId="73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75" xfId="0" applyFont="1" applyFill="1" applyBorder="1" applyAlignment="1" applyProtection="1">
      <alignment horizontal="center" wrapText="1"/>
      <protection locked="0"/>
    </xf>
    <xf numFmtId="0" fontId="2" fillId="2" borderId="7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72" xfId="0" applyFont="1" applyFill="1" applyBorder="1" applyAlignment="1" applyProtection="1">
      <alignment horizontal="center" wrapText="1"/>
      <protection locked="0"/>
    </xf>
    <xf numFmtId="3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5" borderId="17" xfId="0" applyNumberFormat="1" applyFont="1" applyFill="1" applyBorder="1" applyAlignment="1" applyProtection="1">
      <alignment horizontal="left"/>
      <protection locked="0"/>
    </xf>
    <xf numFmtId="3" fontId="13" fillId="5" borderId="18" xfId="0" applyNumberFormat="1" applyFont="1" applyFill="1" applyBorder="1" applyAlignment="1" applyProtection="1">
      <alignment horizontal="left"/>
      <protection locked="0"/>
    </xf>
    <xf numFmtId="3" fontId="13" fillId="5" borderId="17" xfId="0" applyNumberFormat="1" applyFont="1" applyFill="1" applyBorder="1" applyAlignment="1" applyProtection="1">
      <alignment horizontal="center"/>
      <protection/>
    </xf>
    <xf numFmtId="3" fontId="13" fillId="5" borderId="47" xfId="0" applyNumberFormat="1" applyFont="1" applyFill="1" applyBorder="1" applyAlignment="1" applyProtection="1">
      <alignment horizontal="center"/>
      <protection/>
    </xf>
    <xf numFmtId="0" fontId="13" fillId="2" borderId="5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FF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0000"/>
                  </a:gs>
                </a:gsLst>
                <a:lin ang="0" scaled="1"/>
              </a:gra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'Inventaire Ogame'!$B$3:$J$3</c:f>
              <c:numCache/>
            </c:numRef>
          </c:cat>
          <c:val>
            <c:numRef>
              <c:f>'Inventaire Ogame'!$B$8:$J$8</c:f>
              <c:numCache/>
            </c:numRef>
          </c:val>
        </c:ser>
        <c:axId val="60912179"/>
        <c:axId val="11338700"/>
      </c:barChart>
      <c:catAx>
        <c:axId val="6091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8700"/>
        <c:crosses val="autoZero"/>
        <c:auto val="1"/>
        <c:lblOffset val="100"/>
        <c:noMultiLvlLbl val="0"/>
      </c:catAx>
      <c:valAx>
        <c:axId val="1133870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-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091217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00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25"/>
          <c:w val="0.91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'Inventaire Ogame'!$A$11</c:f>
              <c:strCache>
                <c:ptCount val="1"/>
                <c:pt idx="0">
                  <c:v>Métal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8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Ogame'!$B$11:$J$11</c:f>
              <c:numCache/>
            </c:numRef>
          </c:val>
        </c:ser>
        <c:ser>
          <c:idx val="1"/>
          <c:order val="1"/>
          <c:tx>
            <c:strRef>
              <c:f>'Inventaire Ogame'!$A$14</c:f>
              <c:strCache>
                <c:ptCount val="1"/>
                <c:pt idx="0">
                  <c:v>Cristal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CC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Ogame'!$B$14:$J$14</c:f>
              <c:numCache/>
            </c:numRef>
          </c:val>
        </c:ser>
        <c:ser>
          <c:idx val="2"/>
          <c:order val="2"/>
          <c:tx>
            <c:strRef>
              <c:f>'Inventaire Ogame'!$A$17</c:f>
              <c:strCache>
                <c:ptCount val="1"/>
                <c:pt idx="0">
                  <c:v>Deutérium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99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Ogame'!$B$17:$J$17</c:f>
              <c:numCache/>
            </c:numRef>
          </c:val>
        </c:ser>
        <c:axId val="34939437"/>
        <c:axId val="46019478"/>
      </c:barChart>
      <c:catAx>
        <c:axId val="34939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9478"/>
        <c:crosses val="autoZero"/>
        <c:auto val="1"/>
        <c:lblOffset val="100"/>
        <c:noMultiLvlLbl val="0"/>
      </c:catAx>
      <c:valAx>
        <c:axId val="460194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Niveau</a:t>
                </a:r>
              </a:p>
            </c:rich>
          </c:tx>
          <c:layout>
            <c:manualLayout>
              <c:xMode val="factor"/>
              <c:yMode val="factor"/>
              <c:x val="-0.018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394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Défense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95"/>
          <c:w val="0.90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'Inventaire Ogame'!$A$65</c:f>
              <c:strCache>
                <c:ptCount val="1"/>
                <c:pt idx="0">
                  <c:v>Lanceur de missiles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Ogame'!$B$65:$J$65</c:f>
              <c:numCache/>
            </c:numRef>
          </c:val>
        </c:ser>
        <c:ser>
          <c:idx val="1"/>
          <c:order val="1"/>
          <c:tx>
            <c:strRef>
              <c:f>'Inventaire Ogame'!$A$66</c:f>
              <c:strCache>
                <c:ptCount val="1"/>
                <c:pt idx="0">
                  <c:v>Artillerie Laser légère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9191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Ogame'!$B$66:$J$66</c:f>
              <c:numCache/>
            </c:numRef>
          </c:val>
        </c:ser>
        <c:ser>
          <c:idx val="2"/>
          <c:order val="2"/>
          <c:tx>
            <c:strRef>
              <c:f>'Inventaire Ogame'!$A$67</c:f>
              <c:strCache>
                <c:ptCount val="1"/>
                <c:pt idx="0">
                  <c:v>Artillerie Laser lourde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5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Ogame'!$B$67:$J$67</c:f>
              <c:numCache/>
            </c:numRef>
          </c:val>
        </c:ser>
        <c:ser>
          <c:idx val="3"/>
          <c:order val="3"/>
          <c:tx>
            <c:strRef>
              <c:f>'Inventaire Ogame'!$A$68</c:f>
              <c:strCache>
                <c:ptCount val="1"/>
                <c:pt idx="0">
                  <c:v>Canon de Gauss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Ogame'!$B$68:$J$68</c:f>
              <c:numCache/>
            </c:numRef>
          </c:val>
        </c:ser>
        <c:ser>
          <c:idx val="4"/>
          <c:order val="4"/>
          <c:tx>
            <c:strRef>
              <c:f>'Inventaire Ogame'!$A$69</c:f>
              <c:strCache>
                <c:ptCount val="1"/>
                <c:pt idx="0">
                  <c:v>Artillerie à ions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Ogame'!$B$69:$J$69</c:f>
              <c:numCache/>
            </c:numRef>
          </c:val>
        </c:ser>
        <c:ser>
          <c:idx val="5"/>
          <c:order val="5"/>
          <c:tx>
            <c:strRef>
              <c:f>'Inventaire Ogame'!$A$70</c:f>
              <c:strCache>
                <c:ptCount val="1"/>
                <c:pt idx="0">
                  <c:v>Lanceur de plasma</c:v>
                </c:pt>
              </c:strCache>
            </c:strRef>
          </c:tx>
          <c:spPr>
            <a:gradFill rotWithShape="1">
              <a:gsLst>
                <a:gs pos="0">
                  <a:srgbClr val="CECE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Ogame'!$B$70:$J$70</c:f>
              <c:numCache/>
            </c:numRef>
          </c:val>
        </c:ser>
        <c:ser>
          <c:idx val="6"/>
          <c:order val="6"/>
          <c:tx>
            <c:strRef>
              <c:f>'Inventaire Ogame'!$A$73</c:f>
              <c:strCache>
                <c:ptCount val="1"/>
                <c:pt idx="0">
                  <c:v>Missile interception</c:v>
                </c:pt>
              </c:strCache>
            </c:strRef>
          </c:tx>
          <c:spPr>
            <a:gradFill rotWithShape="1">
              <a:gsLst>
                <a:gs pos="0">
                  <a:srgbClr val="EAD6FF"/>
                </a:gs>
                <a:gs pos="100000">
                  <a:srgbClr val="CC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Ogame'!$B$73:$J$73</c:f>
              <c:numCache/>
            </c:numRef>
          </c:val>
        </c:ser>
        <c:ser>
          <c:idx val="7"/>
          <c:order val="7"/>
          <c:tx>
            <c:strRef>
              <c:f>'Inventaire Ogame'!$A$74</c:f>
              <c:strCache>
                <c:ptCount val="1"/>
                <c:pt idx="0">
                  <c:v>Missile interplanétaire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'Inventaire Ogame'!$B$3:$J$3</c:f>
              <c:numCache/>
            </c:numRef>
          </c:cat>
          <c:val>
            <c:numRef>
              <c:f>'Inventaire Ogame'!$B$74:$J$74</c:f>
              <c:numCache/>
            </c:numRef>
          </c:val>
        </c:ser>
        <c:axId val="11522119"/>
        <c:axId val="36590208"/>
      </c:barChart>
      <c:catAx>
        <c:axId val="11522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Colonies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0208"/>
        <c:crosses val="autoZero"/>
        <c:auto val="1"/>
        <c:lblOffset val="100"/>
        <c:noMultiLvlLbl val="0"/>
      </c:catAx>
      <c:valAx>
        <c:axId val="365902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Nombre d'unités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522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0525"/>
          <c:w val="0.13675"/>
          <c:h val="0.22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127</xdr:row>
      <xdr:rowOff>76200</xdr:rowOff>
    </xdr:from>
    <xdr:to>
      <xdr:col>3</xdr:col>
      <xdr:colOff>0</xdr:colOff>
      <xdr:row>149</xdr:row>
      <xdr:rowOff>0</xdr:rowOff>
    </xdr:to>
    <xdr:graphicFrame>
      <xdr:nvGraphicFramePr>
        <xdr:cNvPr id="1" name="Chart 1"/>
        <xdr:cNvGraphicFramePr/>
      </xdr:nvGraphicFramePr>
      <xdr:xfrm>
        <a:off x="190500" y="21516975"/>
        <a:ext cx="33337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127</xdr:row>
      <xdr:rowOff>66675</xdr:rowOff>
    </xdr:from>
    <xdr:to>
      <xdr:col>10</xdr:col>
      <xdr:colOff>561975</xdr:colOff>
      <xdr:row>149</xdr:row>
      <xdr:rowOff>9525</xdr:rowOff>
    </xdr:to>
    <xdr:graphicFrame>
      <xdr:nvGraphicFramePr>
        <xdr:cNvPr id="2" name="Chart 2"/>
        <xdr:cNvGraphicFramePr/>
      </xdr:nvGraphicFramePr>
      <xdr:xfrm>
        <a:off x="3524250" y="21507450"/>
        <a:ext cx="7162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149</xdr:row>
      <xdr:rowOff>104775</xdr:rowOff>
    </xdr:from>
    <xdr:to>
      <xdr:col>10</xdr:col>
      <xdr:colOff>561975</xdr:colOff>
      <xdr:row>183</xdr:row>
      <xdr:rowOff>133350</xdr:rowOff>
    </xdr:to>
    <xdr:graphicFrame>
      <xdr:nvGraphicFramePr>
        <xdr:cNvPr id="3" name="Chart 4"/>
        <xdr:cNvGraphicFramePr/>
      </xdr:nvGraphicFramePr>
      <xdr:xfrm>
        <a:off x="219075" y="25107900"/>
        <a:ext cx="10467975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196"/>
  <sheetViews>
    <sheetView tabSelected="1" workbookViewId="0" topLeftCell="A76">
      <selection activeCell="K76" sqref="K76"/>
    </sheetView>
  </sheetViews>
  <sheetFormatPr defaultColWidth="11.421875" defaultRowHeight="12.75"/>
  <cols>
    <col min="1" max="1" width="27.140625" style="13" customWidth="1"/>
    <col min="2" max="3" width="12.8515625" style="13" customWidth="1"/>
    <col min="4" max="4" width="14.140625" style="13" bestFit="1" customWidth="1"/>
    <col min="5" max="10" width="14.140625" style="13" customWidth="1"/>
    <col min="11" max="11" width="11.7109375" style="13" customWidth="1"/>
    <col min="12" max="12" width="4.421875" style="13" customWidth="1"/>
    <col min="13" max="13" width="11.421875" style="13" customWidth="1"/>
    <col min="14" max="14" width="13.57421875" style="13" bestFit="1" customWidth="1"/>
    <col min="15" max="15" width="11.7109375" style="13" customWidth="1"/>
    <col min="16" max="16384" width="11.421875" style="13" customWidth="1"/>
  </cols>
  <sheetData>
    <row r="1" spans="1:15" ht="25.5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3.5" thickBot="1">
      <c r="A2" s="13" t="s">
        <v>40</v>
      </c>
      <c r="B2" s="24">
        <f ca="1">TODAY()</f>
        <v>39205</v>
      </c>
      <c r="O2" s="14" t="s">
        <v>106</v>
      </c>
    </row>
    <row r="3" spans="1:15" ht="26.25" customHeight="1" thickTop="1">
      <c r="A3" s="37" t="s">
        <v>0</v>
      </c>
      <c r="B3" s="32"/>
      <c r="C3" s="27"/>
      <c r="D3" s="27"/>
      <c r="E3" s="27"/>
      <c r="F3" s="27"/>
      <c r="G3" s="27"/>
      <c r="H3" s="27"/>
      <c r="I3" s="27"/>
      <c r="J3" s="39"/>
      <c r="K3" s="198" t="s">
        <v>59</v>
      </c>
      <c r="L3" s="200" t="s">
        <v>56</v>
      </c>
      <c r="M3" s="205" t="s">
        <v>58</v>
      </c>
      <c r="N3" s="206"/>
      <c r="O3" s="207"/>
    </row>
    <row r="4" spans="1:15" ht="12.75">
      <c r="A4" s="38" t="s">
        <v>1</v>
      </c>
      <c r="B4" s="33"/>
      <c r="C4" s="28"/>
      <c r="D4" s="28"/>
      <c r="E4" s="28"/>
      <c r="F4" s="28"/>
      <c r="G4" s="28"/>
      <c r="H4" s="28"/>
      <c r="I4" s="28"/>
      <c r="J4" s="40"/>
      <c r="K4" s="199"/>
      <c r="L4" s="201"/>
      <c r="M4" s="208"/>
      <c r="N4" s="209"/>
      <c r="O4" s="210"/>
    </row>
    <row r="5" spans="1:15" ht="12.75">
      <c r="A5" s="38" t="s">
        <v>44</v>
      </c>
      <c r="B5" s="34"/>
      <c r="C5" s="29"/>
      <c r="D5" s="29"/>
      <c r="E5" s="29"/>
      <c r="F5" s="29"/>
      <c r="G5" s="29"/>
      <c r="H5" s="29"/>
      <c r="I5" s="29"/>
      <c r="J5" s="41"/>
      <c r="K5" s="199"/>
      <c r="L5" s="201"/>
      <c r="M5" s="195" t="s">
        <v>71</v>
      </c>
      <c r="N5" s="196"/>
      <c r="O5" s="197"/>
    </row>
    <row r="6" spans="1:15" ht="12.75">
      <c r="A6" s="38" t="s">
        <v>43</v>
      </c>
      <c r="B6" s="35">
        <f>SUM(B11,B14,B17,B22,B27,B33:B39,B41,B43)</f>
        <v>0</v>
      </c>
      <c r="C6" s="30">
        <f aca="true" t="shared" si="0" ref="C6:J6">SUM(C11,C14,C17,C22,C27,C33:C39,C41,C43)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42">
        <f t="shared" si="0"/>
        <v>0</v>
      </c>
      <c r="K6" s="199"/>
      <c r="L6" s="201"/>
      <c r="M6" s="44"/>
      <c r="N6" s="45"/>
      <c r="O6" s="46"/>
    </row>
    <row r="7" spans="1:15" ht="15">
      <c r="A7" s="38" t="s">
        <v>37</v>
      </c>
      <c r="B7" s="36"/>
      <c r="C7" s="31"/>
      <c r="D7" s="31"/>
      <c r="E7" s="31"/>
      <c r="F7" s="31"/>
      <c r="G7" s="31"/>
      <c r="H7" s="31"/>
      <c r="I7" s="31"/>
      <c r="J7" s="43"/>
      <c r="K7" s="199"/>
      <c r="L7" s="201"/>
      <c r="M7" s="47"/>
      <c r="N7" s="48"/>
      <c r="O7" s="49"/>
    </row>
    <row r="8" spans="1:15" ht="13.5" thickBot="1">
      <c r="A8" s="50" t="s">
        <v>42</v>
      </c>
      <c r="B8" s="51" t="e">
        <f aca="true" t="shared" si="1" ref="B8:J8">B6/B7</f>
        <v>#DIV/0!</v>
      </c>
      <c r="C8" s="52" t="e">
        <f t="shared" si="1"/>
        <v>#DIV/0!</v>
      </c>
      <c r="D8" s="52" t="e">
        <f t="shared" si="1"/>
        <v>#DIV/0!</v>
      </c>
      <c r="E8" s="52" t="e">
        <f t="shared" si="1"/>
        <v>#DIV/0!</v>
      </c>
      <c r="F8" s="52" t="e">
        <f t="shared" si="1"/>
        <v>#DIV/0!</v>
      </c>
      <c r="G8" s="52" t="e">
        <f t="shared" si="1"/>
        <v>#DIV/0!</v>
      </c>
      <c r="H8" s="52" t="e">
        <f t="shared" si="1"/>
        <v>#DIV/0!</v>
      </c>
      <c r="I8" s="53" t="e">
        <f t="shared" si="1"/>
        <v>#DIV/0!</v>
      </c>
      <c r="J8" s="54" t="e">
        <f t="shared" si="1"/>
        <v>#DIV/0!</v>
      </c>
      <c r="K8" s="55" t="e">
        <f>AVERAGE(B8:J8)</f>
        <v>#DIV/0!</v>
      </c>
      <c r="L8" s="202"/>
      <c r="M8" s="56" t="s">
        <v>3</v>
      </c>
      <c r="N8" s="57" t="s">
        <v>39</v>
      </c>
      <c r="O8" s="58" t="s">
        <v>5</v>
      </c>
    </row>
    <row r="9" spans="1:15" ht="12.75">
      <c r="A9" s="59"/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</row>
    <row r="10" spans="1:15" ht="12.75">
      <c r="A10" s="60" t="s">
        <v>2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1:15" ht="12.75">
      <c r="A11" s="60" t="s">
        <v>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3">
        <f>ROUNDDOWN(60*1.5^(L11-1),0)</f>
        <v>40</v>
      </c>
      <c r="N11" s="63">
        <f>ROUNDDOWN(15*1.5^(L11-1),0)</f>
        <v>10</v>
      </c>
      <c r="O11" s="64"/>
    </row>
    <row r="12" spans="1:15" ht="12.75">
      <c r="A12" s="65" t="s">
        <v>45</v>
      </c>
      <c r="B12" s="66">
        <f aca="true" t="shared" si="2" ref="B12:J12">ROUNDDOWN(30*B11*1.1^B11,0)</f>
        <v>0</v>
      </c>
      <c r="C12" s="66">
        <f t="shared" si="2"/>
        <v>0</v>
      </c>
      <c r="D12" s="66">
        <f t="shared" si="2"/>
        <v>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  <c r="J12" s="66">
        <f t="shared" si="2"/>
        <v>0</v>
      </c>
      <c r="K12" s="66">
        <f>SUM(B12:J12)</f>
        <v>0</v>
      </c>
      <c r="L12" s="67"/>
      <c r="M12" s="68"/>
      <c r="N12" s="68"/>
      <c r="O12" s="64"/>
    </row>
    <row r="13" spans="1:15" ht="12.75">
      <c r="A13" s="69" t="s">
        <v>54</v>
      </c>
      <c r="B13" s="70">
        <f aca="true" t="shared" si="3" ref="B13:I13">ROUNDUP(10*B11*1.1^B11,0)</f>
        <v>0</v>
      </c>
      <c r="C13" s="70">
        <f t="shared" si="3"/>
        <v>0</v>
      </c>
      <c r="D13" s="70">
        <f t="shared" si="3"/>
        <v>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>ROUNDUP(10*J11*1.1^J11,0)</f>
        <v>0</v>
      </c>
      <c r="K13" s="70"/>
      <c r="L13" s="71"/>
      <c r="M13" s="71"/>
      <c r="N13" s="71"/>
      <c r="O13" s="72"/>
    </row>
    <row r="14" spans="1:15" ht="12.75">
      <c r="A14" s="60" t="s">
        <v>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3">
        <f>ROUNDDOWN(48*1.6^(L14-1),0)</f>
        <v>30</v>
      </c>
      <c r="N14" s="63">
        <f>ROUNDDOWN(24*1.6^(L14-1),0)</f>
        <v>15</v>
      </c>
      <c r="O14" s="64"/>
    </row>
    <row r="15" spans="1:15" ht="12.75">
      <c r="A15" s="65" t="s">
        <v>45</v>
      </c>
      <c r="B15" s="66">
        <f aca="true" t="shared" si="4" ref="B15:J15">ROUNDDOWN(20*B14*1.1^B14,0)</f>
        <v>0</v>
      </c>
      <c r="C15" s="66">
        <f t="shared" si="4"/>
        <v>0</v>
      </c>
      <c r="D15" s="66">
        <f t="shared" si="4"/>
        <v>0</v>
      </c>
      <c r="E15" s="66">
        <f t="shared" si="4"/>
        <v>0</v>
      </c>
      <c r="F15" s="66">
        <f t="shared" si="4"/>
        <v>0</v>
      </c>
      <c r="G15" s="66">
        <f t="shared" si="4"/>
        <v>0</v>
      </c>
      <c r="H15" s="66">
        <f t="shared" si="4"/>
        <v>0</v>
      </c>
      <c r="I15" s="66">
        <f t="shared" si="4"/>
        <v>0</v>
      </c>
      <c r="J15" s="66">
        <f t="shared" si="4"/>
        <v>0</v>
      </c>
      <c r="K15" s="66">
        <f>SUM(B15:J15)</f>
        <v>0</v>
      </c>
      <c r="L15" s="67"/>
      <c r="M15" s="68"/>
      <c r="N15" s="68"/>
      <c r="O15" s="64"/>
    </row>
    <row r="16" spans="1:15" ht="12.75">
      <c r="A16" s="69" t="s">
        <v>54</v>
      </c>
      <c r="B16" s="70">
        <f aca="true" t="shared" si="5" ref="B16:I16">ROUNDUP(10*B14*1.1^B14,0)</f>
        <v>0</v>
      </c>
      <c r="C16" s="70">
        <f t="shared" si="5"/>
        <v>0</v>
      </c>
      <c r="D16" s="70">
        <f t="shared" si="5"/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>ROUNDUP(10*J14*1.1^J14,0)</f>
        <v>0</v>
      </c>
      <c r="K16" s="70"/>
      <c r="L16" s="71"/>
      <c r="M16" s="73"/>
      <c r="N16" s="73"/>
      <c r="O16" s="74"/>
    </row>
    <row r="17" spans="1:15" ht="12.75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63">
        <f>ROUNDDOWN(225*1.5^(L17-1),0)</f>
        <v>150</v>
      </c>
      <c r="N17" s="63">
        <f>ROUNDDOWN(75*1.5^(L17-1),0)</f>
        <v>50</v>
      </c>
      <c r="O17" s="64"/>
    </row>
    <row r="18" spans="1:15" ht="12.75">
      <c r="A18" s="65" t="s">
        <v>45</v>
      </c>
      <c r="B18" s="66">
        <f aca="true" t="shared" si="6" ref="B18:J18">ROUNDDOWN(10*B17*1.1^B17*(-0.002*B5+1.28),0)</f>
        <v>0</v>
      </c>
      <c r="C18" s="66">
        <f>ROUNDDOWN(10*C17*1.1^C17*(-0.002*C5+1.28),0)</f>
        <v>0</v>
      </c>
      <c r="D18" s="66">
        <f t="shared" si="6"/>
        <v>0</v>
      </c>
      <c r="E18" s="66">
        <f t="shared" si="6"/>
        <v>0</v>
      </c>
      <c r="F18" s="66">
        <f t="shared" si="6"/>
        <v>0</v>
      </c>
      <c r="G18" s="66">
        <f t="shared" si="6"/>
        <v>0</v>
      </c>
      <c r="H18" s="66">
        <f t="shared" si="6"/>
        <v>0</v>
      </c>
      <c r="I18" s="66">
        <f t="shared" si="6"/>
        <v>0</v>
      </c>
      <c r="J18" s="66">
        <f t="shared" si="6"/>
        <v>0</v>
      </c>
      <c r="K18" s="66">
        <f>SUM(B18:J18)</f>
        <v>0</v>
      </c>
      <c r="L18" s="67"/>
      <c r="M18" s="68"/>
      <c r="N18" s="68"/>
      <c r="O18" s="64"/>
    </row>
    <row r="19" spans="1:15" ht="13.5" thickBot="1">
      <c r="A19" s="75" t="s">
        <v>54</v>
      </c>
      <c r="B19" s="76">
        <f>ROUNDUP(20*B17*1.1^B17,0)</f>
        <v>0</v>
      </c>
      <c r="C19" s="76">
        <f aca="true" t="shared" si="7" ref="C19:I19">ROUNDUP(20*C17*1.1^C17,0)</f>
        <v>0</v>
      </c>
      <c r="D19" s="76">
        <f t="shared" si="7"/>
        <v>0</v>
      </c>
      <c r="E19" s="76">
        <f t="shared" si="7"/>
        <v>0</v>
      </c>
      <c r="F19" s="76">
        <f t="shared" si="7"/>
        <v>0</v>
      </c>
      <c r="G19" s="76">
        <f t="shared" si="7"/>
        <v>0</v>
      </c>
      <c r="H19" s="76">
        <f t="shared" si="7"/>
        <v>0</v>
      </c>
      <c r="I19" s="76">
        <f t="shared" si="7"/>
        <v>0</v>
      </c>
      <c r="J19" s="76">
        <f>ROUNDUP(20*J17*1.1^J17,0)</f>
        <v>0</v>
      </c>
      <c r="K19" s="76"/>
      <c r="L19" s="77"/>
      <c r="M19" s="77"/>
      <c r="N19" s="77"/>
      <c r="O19" s="78"/>
    </row>
    <row r="20" spans="1:15" ht="12.75">
      <c r="A20" s="79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6"/>
    </row>
    <row r="21" spans="1:15" ht="12.75">
      <c r="A21" s="60" t="s">
        <v>6</v>
      </c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</row>
    <row r="22" spans="1:15" ht="12.75">
      <c r="A22" s="60" t="s">
        <v>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3">
        <f>ROUNDDOWN(75*1.5^(L22-1),0)</f>
        <v>50</v>
      </c>
      <c r="N22" s="63">
        <f>ROUNDDOWN(30*1.5^(L22-1),0)</f>
        <v>20</v>
      </c>
      <c r="O22" s="64"/>
    </row>
    <row r="23" spans="1:15" ht="12.75">
      <c r="A23" s="65" t="s">
        <v>46</v>
      </c>
      <c r="B23" s="83">
        <f aca="true" t="shared" si="8" ref="B23:J23">ROUNDDOWN(20*B22*1.1^B22,0)</f>
        <v>0</v>
      </c>
      <c r="C23" s="83">
        <f t="shared" si="8"/>
        <v>0</v>
      </c>
      <c r="D23" s="83">
        <f t="shared" si="8"/>
        <v>0</v>
      </c>
      <c r="E23" s="83">
        <f t="shared" si="8"/>
        <v>0</v>
      </c>
      <c r="F23" s="83">
        <f t="shared" si="8"/>
        <v>0</v>
      </c>
      <c r="G23" s="83">
        <f t="shared" si="8"/>
        <v>0</v>
      </c>
      <c r="H23" s="83">
        <f t="shared" si="8"/>
        <v>0</v>
      </c>
      <c r="I23" s="83">
        <f t="shared" si="8"/>
        <v>0</v>
      </c>
      <c r="J23" s="83">
        <f t="shared" si="8"/>
        <v>0</v>
      </c>
      <c r="K23" s="84"/>
      <c r="L23" s="67"/>
      <c r="M23" s="68"/>
      <c r="N23" s="68"/>
      <c r="O23" s="64"/>
    </row>
    <row r="24" spans="1:15" ht="12.75">
      <c r="A24" s="60" t="s">
        <v>41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68"/>
      <c r="N24" s="85">
        <v>2000</v>
      </c>
      <c r="O24" s="86">
        <v>500</v>
      </c>
    </row>
    <row r="25" spans="1:15" ht="12.75">
      <c r="A25" s="87" t="s">
        <v>61</v>
      </c>
      <c r="B25" s="88">
        <f aca="true" t="shared" si="9" ref="B25:I25">IF(ROUNDDOWN(B5/4+20,0)&gt;=51,51,ROUNDDOWN(B5/4+20,0))</f>
        <v>20</v>
      </c>
      <c r="C25" s="88">
        <f t="shared" si="9"/>
        <v>20</v>
      </c>
      <c r="D25" s="88">
        <f t="shared" si="9"/>
        <v>20</v>
      </c>
      <c r="E25" s="88">
        <f t="shared" si="9"/>
        <v>20</v>
      </c>
      <c r="F25" s="88">
        <f t="shared" si="9"/>
        <v>20</v>
      </c>
      <c r="G25" s="88">
        <f t="shared" si="9"/>
        <v>20</v>
      </c>
      <c r="H25" s="88">
        <f t="shared" si="9"/>
        <v>20</v>
      </c>
      <c r="I25" s="88">
        <f t="shared" si="9"/>
        <v>20</v>
      </c>
      <c r="J25" s="88">
        <f>IF(ROUNDDOWN(J5/4+20,0)&gt;=51,51,ROUNDDOWN(J5/4+20,0))</f>
        <v>20</v>
      </c>
      <c r="K25" s="84"/>
      <c r="L25" s="89"/>
      <c r="M25" s="68"/>
      <c r="N25" s="68"/>
      <c r="O25" s="64"/>
    </row>
    <row r="26" spans="1:15" ht="12.75">
      <c r="A26" s="65" t="s">
        <v>46</v>
      </c>
      <c r="B26" s="83">
        <f aca="true" t="shared" si="10" ref="B26:J26">B25*B24</f>
        <v>0</v>
      </c>
      <c r="C26" s="83">
        <f t="shared" si="10"/>
        <v>0</v>
      </c>
      <c r="D26" s="83">
        <f t="shared" si="10"/>
        <v>0</v>
      </c>
      <c r="E26" s="83">
        <f t="shared" si="10"/>
        <v>0</v>
      </c>
      <c r="F26" s="83">
        <f t="shared" si="10"/>
        <v>0</v>
      </c>
      <c r="G26" s="83">
        <f t="shared" si="10"/>
        <v>0</v>
      </c>
      <c r="H26" s="83">
        <f t="shared" si="10"/>
        <v>0</v>
      </c>
      <c r="I26" s="83">
        <f t="shared" si="10"/>
        <v>0</v>
      </c>
      <c r="J26" s="83">
        <f t="shared" si="10"/>
        <v>0</v>
      </c>
      <c r="K26" s="84"/>
      <c r="L26" s="67"/>
      <c r="M26" s="68"/>
      <c r="N26" s="68"/>
      <c r="O26" s="64"/>
    </row>
    <row r="27" spans="1:15" ht="12.75">
      <c r="A27" s="60" t="s">
        <v>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3">
        <f>ROUNDDOWN(900*1.8^L27-1,0)</f>
        <v>899</v>
      </c>
      <c r="N27" s="63">
        <f>ROUNDDOWN(360*1.8^(L27-1),0)</f>
        <v>200</v>
      </c>
      <c r="O27" s="90">
        <f>ROUNDDOWN(180*1.8^(L27-1),0)</f>
        <v>100</v>
      </c>
    </row>
    <row r="28" spans="1:15" ht="12.75">
      <c r="A28" s="65" t="s">
        <v>46</v>
      </c>
      <c r="B28" s="83">
        <f aca="true" t="shared" si="11" ref="B28:J28">ROUNDDOWN(50*B27*1.1^B27,0)</f>
        <v>0</v>
      </c>
      <c r="C28" s="83">
        <f t="shared" si="11"/>
        <v>0</v>
      </c>
      <c r="D28" s="83">
        <f t="shared" si="11"/>
        <v>0</v>
      </c>
      <c r="E28" s="83">
        <f t="shared" si="11"/>
        <v>0</v>
      </c>
      <c r="F28" s="83">
        <f t="shared" si="11"/>
        <v>0</v>
      </c>
      <c r="G28" s="83">
        <f t="shared" si="11"/>
        <v>0</v>
      </c>
      <c r="H28" s="83">
        <f t="shared" si="11"/>
        <v>0</v>
      </c>
      <c r="I28" s="83">
        <f t="shared" si="11"/>
        <v>0</v>
      </c>
      <c r="J28" s="83">
        <f t="shared" si="11"/>
        <v>0</v>
      </c>
      <c r="K28" s="84"/>
      <c r="L28" s="67"/>
      <c r="M28" s="68"/>
      <c r="N28" s="68"/>
      <c r="O28" s="64"/>
    </row>
    <row r="29" spans="1:15" ht="12.75">
      <c r="A29" s="91" t="s">
        <v>55</v>
      </c>
      <c r="B29" s="70">
        <f aca="true" t="shared" si="12" ref="B29:I29">ROUNDUP(10*B27*1.1^B27,0)</f>
        <v>0</v>
      </c>
      <c r="C29" s="70">
        <f t="shared" si="12"/>
        <v>0</v>
      </c>
      <c r="D29" s="70">
        <f t="shared" si="12"/>
        <v>0</v>
      </c>
      <c r="E29" s="70">
        <f t="shared" si="12"/>
        <v>0</v>
      </c>
      <c r="F29" s="70">
        <f t="shared" si="12"/>
        <v>0</v>
      </c>
      <c r="G29" s="70">
        <f t="shared" si="12"/>
        <v>0</v>
      </c>
      <c r="H29" s="70">
        <f t="shared" si="12"/>
        <v>0</v>
      </c>
      <c r="I29" s="70">
        <f t="shared" si="12"/>
        <v>0</v>
      </c>
      <c r="J29" s="70">
        <f>ROUNDUP(10*J27*1.1^J27,0)</f>
        <v>0</v>
      </c>
      <c r="K29" s="92"/>
      <c r="L29" s="71"/>
      <c r="M29" s="73"/>
      <c r="N29" s="73"/>
      <c r="O29" s="74"/>
    </row>
    <row r="30" spans="1:15" ht="13.5" thickBot="1">
      <c r="A30" s="93" t="s">
        <v>47</v>
      </c>
      <c r="B30" s="94">
        <f aca="true" t="shared" si="13" ref="B30:I30">SUM(B23,B26,B28)</f>
        <v>0</v>
      </c>
      <c r="C30" s="94">
        <f t="shared" si="13"/>
        <v>0</v>
      </c>
      <c r="D30" s="94">
        <f t="shared" si="13"/>
        <v>0</v>
      </c>
      <c r="E30" s="94">
        <f t="shared" si="13"/>
        <v>0</v>
      </c>
      <c r="F30" s="94">
        <f t="shared" si="13"/>
        <v>0</v>
      </c>
      <c r="G30" s="94">
        <f t="shared" si="13"/>
        <v>0</v>
      </c>
      <c r="H30" s="94">
        <f t="shared" si="13"/>
        <v>0</v>
      </c>
      <c r="I30" s="94">
        <f t="shared" si="13"/>
        <v>0</v>
      </c>
      <c r="J30" s="94">
        <f>SUM(J23,J26,J28)</f>
        <v>0</v>
      </c>
      <c r="K30" s="95"/>
      <c r="L30" s="96"/>
      <c r="M30" s="97"/>
      <c r="N30" s="97"/>
      <c r="O30" s="98"/>
    </row>
    <row r="31" spans="1:15" ht="12.75">
      <c r="A31" s="79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1:15" ht="12.75">
      <c r="A32" s="60" t="s">
        <v>9</v>
      </c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</row>
    <row r="33" spans="1:15" ht="12.75">
      <c r="A33" s="99" t="s">
        <v>10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3">
        <f>ROUNDDOWN(400*2^(L33-1),0)</f>
        <v>200</v>
      </c>
      <c r="N33" s="63">
        <f>ROUNDDOWN(120*2^(L33-1),0)</f>
        <v>60</v>
      </c>
      <c r="O33" s="90">
        <f>ROUNDDOWN(200*2^(L33-1),0)</f>
        <v>100</v>
      </c>
    </row>
    <row r="34" spans="1:15" ht="12.75">
      <c r="A34" s="99" t="s">
        <v>63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3">
        <f>ROUNDDOWN(1000000*2^(L34-1),0)</f>
        <v>500000</v>
      </c>
      <c r="N34" s="63">
        <f>ROUNDDOWN(500000*2^(L34-1),0)</f>
        <v>250000</v>
      </c>
      <c r="O34" s="90">
        <f>ROUNDDOWN(100000*2^(L34-1),0)</f>
        <v>50000</v>
      </c>
    </row>
    <row r="35" spans="1:15" ht="12.75">
      <c r="A35" s="99" t="s">
        <v>11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3">
        <f>ROUNDDOWN(400*2^L35,0)</f>
        <v>400</v>
      </c>
      <c r="N35" s="63">
        <f>ROUNDDOWN(200*2^(L35-1),0)</f>
        <v>100</v>
      </c>
      <c r="O35" s="90">
        <f>ROUNDDOWN(100*2^(L35-1),0)</f>
        <v>50</v>
      </c>
    </row>
    <row r="36" spans="1:15" ht="12.75">
      <c r="A36" s="99" t="s">
        <v>12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3">
        <f>ROUNDDOWN(200*2^(L36-1),0)</f>
        <v>100</v>
      </c>
      <c r="N36" s="63">
        <f>ROUNDDOWN(400*2^(L36-1),0)</f>
        <v>200</v>
      </c>
      <c r="O36" s="90">
        <f>ROUNDDOWN(200*2^(L36-1),0)</f>
        <v>100</v>
      </c>
    </row>
    <row r="37" spans="1:15" ht="12.75">
      <c r="A37" s="99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3">
        <f>ROUNDDOWN(20000*2^(L37-1),0)</f>
        <v>10000</v>
      </c>
      <c r="N37" s="63">
        <f>ROUNDDOWN(20000*(2^L37-1),0)</f>
        <v>0</v>
      </c>
      <c r="O37" s="90">
        <f>ROUNDDOWN(1000*2^(L37-1),0)</f>
        <v>500</v>
      </c>
    </row>
    <row r="38" spans="1:15" ht="12.75">
      <c r="A38" s="99" t="s">
        <v>64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85"/>
      <c r="N38" s="85"/>
      <c r="O38" s="86"/>
    </row>
    <row r="39" spans="1:15" ht="12.75">
      <c r="A39" s="99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3">
        <f>ROUNDDOWN(2000*2^(L39-1),0)</f>
        <v>1000</v>
      </c>
      <c r="N39" s="68"/>
      <c r="O39" s="64"/>
    </row>
    <row r="40" spans="1:15" s="15" customFormat="1" ht="12.75">
      <c r="A40" s="65" t="s">
        <v>60</v>
      </c>
      <c r="B40" s="100">
        <f aca="true" t="shared" si="14" ref="B40:J40">IF(B39=0,100,100+(50*ROUNDDOWN(1.6^B39,0)))</f>
        <v>100</v>
      </c>
      <c r="C40" s="100">
        <f t="shared" si="14"/>
        <v>100</v>
      </c>
      <c r="D40" s="100">
        <f t="shared" si="14"/>
        <v>100</v>
      </c>
      <c r="E40" s="100">
        <f t="shared" si="14"/>
        <v>100</v>
      </c>
      <c r="F40" s="100">
        <f t="shared" si="14"/>
        <v>100</v>
      </c>
      <c r="G40" s="100">
        <f t="shared" si="14"/>
        <v>100</v>
      </c>
      <c r="H40" s="100">
        <f t="shared" si="14"/>
        <v>100</v>
      </c>
      <c r="I40" s="100">
        <f t="shared" si="14"/>
        <v>100</v>
      </c>
      <c r="J40" s="100">
        <f t="shared" si="14"/>
        <v>100</v>
      </c>
      <c r="K40" s="100">
        <f>SUM(B40:J40)</f>
        <v>900</v>
      </c>
      <c r="L40" s="101"/>
      <c r="M40" s="102"/>
      <c r="N40" s="102"/>
      <c r="O40" s="103"/>
    </row>
    <row r="41" spans="1:15" ht="12.75">
      <c r="A41" s="99" t="s">
        <v>52</v>
      </c>
      <c r="B41" s="61"/>
      <c r="C41" s="61"/>
      <c r="D41" s="61"/>
      <c r="E41" s="61"/>
      <c r="F41" s="61"/>
      <c r="G41" s="61"/>
      <c r="H41" s="61"/>
      <c r="I41" s="61"/>
      <c r="J41" s="61"/>
      <c r="K41" s="104"/>
      <c r="L41" s="61"/>
      <c r="M41" s="63">
        <f>ROUNDDOWN(2000*2^(L41-1),0)</f>
        <v>1000</v>
      </c>
      <c r="N41" s="63">
        <f>ROUNDDOWN(1000*2^(L41-1),0)</f>
        <v>500</v>
      </c>
      <c r="O41" s="64"/>
    </row>
    <row r="42" spans="1:15" s="15" customFormat="1" ht="12.75">
      <c r="A42" s="65" t="s">
        <v>60</v>
      </c>
      <c r="B42" s="100">
        <f aca="true" t="shared" si="15" ref="B42:J42">IF(B41=0,100,100+(50*ROUNDDOWN(1.6^B41,0)))</f>
        <v>100</v>
      </c>
      <c r="C42" s="100">
        <f t="shared" si="15"/>
        <v>100</v>
      </c>
      <c r="D42" s="100">
        <f t="shared" si="15"/>
        <v>100</v>
      </c>
      <c r="E42" s="100">
        <f t="shared" si="15"/>
        <v>100</v>
      </c>
      <c r="F42" s="100">
        <f t="shared" si="15"/>
        <v>100</v>
      </c>
      <c r="G42" s="100">
        <f t="shared" si="15"/>
        <v>100</v>
      </c>
      <c r="H42" s="100">
        <f t="shared" si="15"/>
        <v>100</v>
      </c>
      <c r="I42" s="100">
        <f t="shared" si="15"/>
        <v>100</v>
      </c>
      <c r="J42" s="100">
        <f t="shared" si="15"/>
        <v>100</v>
      </c>
      <c r="K42" s="100">
        <f>SUM(B42:J42)</f>
        <v>900</v>
      </c>
      <c r="L42" s="101"/>
      <c r="M42" s="102"/>
      <c r="N42" s="102"/>
      <c r="O42" s="103"/>
    </row>
    <row r="43" spans="1:15" ht="12.75">
      <c r="A43" s="99" t="s">
        <v>53</v>
      </c>
      <c r="B43" s="61"/>
      <c r="C43" s="61"/>
      <c r="D43" s="61"/>
      <c r="E43" s="61"/>
      <c r="F43" s="61"/>
      <c r="G43" s="61"/>
      <c r="H43" s="61"/>
      <c r="I43" s="61"/>
      <c r="J43" s="61"/>
      <c r="K43" s="104"/>
      <c r="L43" s="61"/>
      <c r="M43" s="63">
        <f>ROUNDDOWN(2000*2^(L43-1),0)</f>
        <v>1000</v>
      </c>
      <c r="N43" s="63">
        <f>ROUNDDOWN(2000*2^(L43-1),0)</f>
        <v>1000</v>
      </c>
      <c r="O43" s="64"/>
    </row>
    <row r="44" spans="1:15" s="15" customFormat="1" ht="13.5" thickBot="1">
      <c r="A44" s="105" t="s">
        <v>60</v>
      </c>
      <c r="B44" s="106">
        <f aca="true" t="shared" si="16" ref="B44:J44">IF(B43=0,100,100+(50*ROUNDDOWN(1.6^B43,0)))</f>
        <v>100</v>
      </c>
      <c r="C44" s="106">
        <f t="shared" si="16"/>
        <v>100</v>
      </c>
      <c r="D44" s="106">
        <f t="shared" si="16"/>
        <v>100</v>
      </c>
      <c r="E44" s="106">
        <f t="shared" si="16"/>
        <v>100</v>
      </c>
      <c r="F44" s="106">
        <f t="shared" si="16"/>
        <v>100</v>
      </c>
      <c r="G44" s="106">
        <f t="shared" si="16"/>
        <v>100</v>
      </c>
      <c r="H44" s="106">
        <f t="shared" si="16"/>
        <v>100</v>
      </c>
      <c r="I44" s="106">
        <f t="shared" si="16"/>
        <v>100</v>
      </c>
      <c r="J44" s="106">
        <f t="shared" si="16"/>
        <v>100</v>
      </c>
      <c r="K44" s="106">
        <f>SUM(B44:J44)</f>
        <v>900</v>
      </c>
      <c r="L44" s="107"/>
      <c r="M44" s="108"/>
      <c r="N44" s="108"/>
      <c r="O44" s="109"/>
    </row>
    <row r="45" spans="1:15" ht="12.75">
      <c r="A45" s="79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93"/>
    </row>
    <row r="46" spans="1:15" ht="12.75">
      <c r="A46" s="60" t="s">
        <v>65</v>
      </c>
      <c r="B46" s="81"/>
      <c r="C46" s="81"/>
      <c r="D46" s="81"/>
      <c r="E46" s="81"/>
      <c r="F46" s="81"/>
      <c r="G46" s="81"/>
      <c r="H46" s="81"/>
      <c r="I46" s="175"/>
      <c r="J46" s="176"/>
      <c r="K46" s="176"/>
      <c r="L46" s="176"/>
      <c r="M46" s="176"/>
      <c r="N46" s="176"/>
      <c r="O46" s="177"/>
    </row>
    <row r="47" spans="1:15" ht="12.75">
      <c r="A47" s="99" t="s">
        <v>13</v>
      </c>
      <c r="B47" s="110"/>
      <c r="C47" s="111" t="str">
        <f aca="true" t="shared" si="17" ref="C47:J47">IF(C$36&gt;=3,IF(C$36&gt;0,IF($B47&gt;0,$B47," ")," ")," ")</f>
        <v> </v>
      </c>
      <c r="D47" s="111" t="str">
        <f t="shared" si="17"/>
        <v> </v>
      </c>
      <c r="E47" s="111" t="str">
        <f t="shared" si="17"/>
        <v> </v>
      </c>
      <c r="F47" s="111" t="str">
        <f t="shared" si="17"/>
        <v> </v>
      </c>
      <c r="G47" s="111" t="str">
        <f t="shared" si="17"/>
        <v> </v>
      </c>
      <c r="H47" s="111" t="str">
        <f t="shared" si="17"/>
        <v> </v>
      </c>
      <c r="I47" s="111" t="str">
        <f t="shared" si="17"/>
        <v> </v>
      </c>
      <c r="J47" s="111" t="str">
        <f t="shared" si="17"/>
        <v> </v>
      </c>
      <c r="K47" s="61"/>
      <c r="L47" s="61"/>
      <c r="M47" s="63">
        <f>ROUNDDOWN(200*2^(L47-1),0)</f>
        <v>100</v>
      </c>
      <c r="N47" s="63">
        <f>ROUNDDOWN(1000*2^(L47-1),0)</f>
        <v>500</v>
      </c>
      <c r="O47" s="90">
        <f>ROUNDDOWN(200*2^(L47-1),0)</f>
        <v>100</v>
      </c>
    </row>
    <row r="48" spans="1:15" ht="12.75">
      <c r="A48" s="99" t="s">
        <v>14</v>
      </c>
      <c r="B48" s="110"/>
      <c r="C48" s="111" t="str">
        <f aca="true" t="shared" si="18" ref="C48:J48">IF(C$36&gt;=1,IF(C$36&gt;0,IF($B48&gt;0,$B48," ")," ")," ")</f>
        <v> </v>
      </c>
      <c r="D48" s="111" t="str">
        <f t="shared" si="18"/>
        <v> </v>
      </c>
      <c r="E48" s="111" t="str">
        <f t="shared" si="18"/>
        <v> </v>
      </c>
      <c r="F48" s="111" t="str">
        <f t="shared" si="18"/>
        <v> </v>
      </c>
      <c r="G48" s="111" t="str">
        <f t="shared" si="18"/>
        <v> </v>
      </c>
      <c r="H48" s="111" t="str">
        <f t="shared" si="18"/>
        <v> </v>
      </c>
      <c r="I48" s="111" t="str">
        <f t="shared" si="18"/>
        <v> </v>
      </c>
      <c r="J48" s="111" t="str">
        <f t="shared" si="18"/>
        <v> </v>
      </c>
      <c r="K48" s="61"/>
      <c r="L48" s="61"/>
      <c r="M48" s="68"/>
      <c r="N48" s="63">
        <f>ROUNDDOWN(400*2^(L48-1),0)</f>
        <v>200</v>
      </c>
      <c r="O48" s="90">
        <f>ROUNDDOWN(600*2^(L48-1),0)</f>
        <v>300</v>
      </c>
    </row>
    <row r="49" spans="1:15" ht="12.75">
      <c r="A49" s="99" t="s">
        <v>15</v>
      </c>
      <c r="B49" s="110"/>
      <c r="C49" s="111" t="str">
        <f aca="true" t="shared" si="19" ref="C49:H49">IF(C$36&gt;=4,IF(C$36&gt;0,IF($B49&gt;0,$B49," ")," ")," ")</f>
        <v> </v>
      </c>
      <c r="D49" s="111" t="str">
        <f t="shared" si="19"/>
        <v> </v>
      </c>
      <c r="E49" s="111" t="str">
        <f t="shared" si="19"/>
        <v> </v>
      </c>
      <c r="F49" s="111" t="str">
        <f t="shared" si="19"/>
        <v> </v>
      </c>
      <c r="G49" s="111" t="str">
        <f t="shared" si="19"/>
        <v> </v>
      </c>
      <c r="H49" s="111" t="str">
        <f t="shared" si="19"/>
        <v> </v>
      </c>
      <c r="I49" s="111" t="str">
        <f>IF(I$36&gt;=4,IF(I$36&gt;0,IF($B49&gt;0,$B49," ")," ")," ")</f>
        <v> </v>
      </c>
      <c r="J49" s="111" t="str">
        <f>IF(J$36&gt;=4,IF(J$36&gt;0,IF($B49&gt;0,$B49," ")," ")," ")</f>
        <v> </v>
      </c>
      <c r="K49" s="61"/>
      <c r="L49" s="61"/>
      <c r="M49" s="63">
        <f>ROUNDDOWN(800*2^(L49-1),0)</f>
        <v>400</v>
      </c>
      <c r="N49" s="63">
        <f>ROUNDDOWN(200*2^(L49-1),0)</f>
        <v>100</v>
      </c>
      <c r="O49" s="64"/>
    </row>
    <row r="50" spans="1:15" ht="12.75">
      <c r="A50" s="99" t="s">
        <v>16</v>
      </c>
      <c r="B50" s="110"/>
      <c r="C50" s="111" t="str">
        <f aca="true" t="shared" si="20" ref="C50:J50">IF(C$36&gt;=6,IF(C$36&gt;0,IF($B50&gt;0,$B50," ")," ")," ")</f>
        <v> </v>
      </c>
      <c r="D50" s="111" t="str">
        <f t="shared" si="20"/>
        <v> </v>
      </c>
      <c r="E50" s="111" t="str">
        <f t="shared" si="20"/>
        <v> </v>
      </c>
      <c r="F50" s="111" t="str">
        <f t="shared" si="20"/>
        <v> </v>
      </c>
      <c r="G50" s="111" t="str">
        <f t="shared" si="20"/>
        <v> </v>
      </c>
      <c r="H50" s="111" t="str">
        <f t="shared" si="20"/>
        <v> </v>
      </c>
      <c r="I50" s="111" t="str">
        <f t="shared" si="20"/>
        <v> </v>
      </c>
      <c r="J50" s="111" t="str">
        <f t="shared" si="20"/>
        <v> </v>
      </c>
      <c r="K50" s="61"/>
      <c r="L50" s="61"/>
      <c r="M50" s="63">
        <f>ROUNDDOWN(200*2^(L50-1),0)</f>
        <v>100</v>
      </c>
      <c r="N50" s="63">
        <f>ROUNDDOWN(600*2^(L50-1),0)</f>
        <v>300</v>
      </c>
      <c r="O50" s="64"/>
    </row>
    <row r="51" spans="1:15" ht="12.75">
      <c r="A51" s="99" t="s">
        <v>17</v>
      </c>
      <c r="B51" s="110"/>
      <c r="C51" s="111" t="str">
        <f aca="true" t="shared" si="21" ref="C51:J51">IF(C$36&gt;=2,IF(C$36&gt;0,IF($B51&gt;0,$B51," ")," ")," ")</f>
        <v> </v>
      </c>
      <c r="D51" s="111" t="str">
        <f t="shared" si="21"/>
        <v> </v>
      </c>
      <c r="E51" s="111" t="str">
        <f t="shared" si="21"/>
        <v> </v>
      </c>
      <c r="F51" s="111" t="str">
        <f t="shared" si="21"/>
        <v> </v>
      </c>
      <c r="G51" s="111" t="str">
        <f t="shared" si="21"/>
        <v> </v>
      </c>
      <c r="H51" s="111" t="str">
        <f t="shared" si="21"/>
        <v> </v>
      </c>
      <c r="I51" s="111" t="str">
        <f t="shared" si="21"/>
        <v> </v>
      </c>
      <c r="J51" s="111" t="str">
        <f t="shared" si="21"/>
        <v> </v>
      </c>
      <c r="K51" s="61"/>
      <c r="L51" s="61"/>
      <c r="M51" s="63">
        <f>ROUNDDOWN(1000*2^(L51-1),0)</f>
        <v>500</v>
      </c>
      <c r="N51" s="68"/>
      <c r="O51" s="64"/>
    </row>
    <row r="52" spans="1:15" ht="12.75">
      <c r="A52" s="99" t="s">
        <v>6</v>
      </c>
      <c r="B52" s="110"/>
      <c r="C52" s="111" t="str">
        <f aca="true" t="shared" si="22" ref="C52:J52">IF(C$36&gt;=1,IF(C$36&gt;0,IF($B52&gt;0,$B52," ")," ")," ")</f>
        <v> </v>
      </c>
      <c r="D52" s="111" t="str">
        <f t="shared" si="22"/>
        <v> </v>
      </c>
      <c r="E52" s="111" t="str">
        <f t="shared" si="22"/>
        <v> </v>
      </c>
      <c r="F52" s="111" t="str">
        <f t="shared" si="22"/>
        <v> </v>
      </c>
      <c r="G52" s="111" t="str">
        <f t="shared" si="22"/>
        <v> </v>
      </c>
      <c r="H52" s="111" t="str">
        <f t="shared" si="22"/>
        <v> </v>
      </c>
      <c r="I52" s="111" t="str">
        <f t="shared" si="22"/>
        <v> </v>
      </c>
      <c r="J52" s="111" t="str">
        <f t="shared" si="22"/>
        <v> </v>
      </c>
      <c r="K52" s="61"/>
      <c r="L52" s="61"/>
      <c r="M52" s="68"/>
      <c r="N52" s="63">
        <f>ROUNDDOWN(800*2^(L52-1),0)</f>
        <v>400</v>
      </c>
      <c r="O52" s="90">
        <f>ROUNDDOWN(400*2^(L52-1),0)</f>
        <v>200</v>
      </c>
    </row>
    <row r="53" spans="1:15" ht="12.75">
      <c r="A53" s="99" t="s">
        <v>18</v>
      </c>
      <c r="B53" s="110"/>
      <c r="C53" s="111" t="str">
        <f aca="true" t="shared" si="23" ref="C53:I53">IF(C$36&gt;=7,IF(C$36&gt;0,IF($B53&gt;0,$B53," ")," ")," ")</f>
        <v> </v>
      </c>
      <c r="D53" s="111" t="str">
        <f t="shared" si="23"/>
        <v> </v>
      </c>
      <c r="E53" s="111" t="str">
        <f t="shared" si="23"/>
        <v> </v>
      </c>
      <c r="F53" s="111" t="str">
        <f t="shared" si="23"/>
        <v> </v>
      </c>
      <c r="G53" s="111" t="str">
        <f t="shared" si="23"/>
        <v> </v>
      </c>
      <c r="H53" s="111" t="str">
        <f t="shared" si="23"/>
        <v> </v>
      </c>
      <c r="I53" s="111" t="str">
        <f t="shared" si="23"/>
        <v> </v>
      </c>
      <c r="J53" s="111" t="str">
        <f>IF(J$36&gt;=7,IF(J$36&gt;0,IF($B53&gt;0,$B53," ")," ")," ")</f>
        <v> </v>
      </c>
      <c r="K53" s="61"/>
      <c r="L53" s="61"/>
      <c r="M53" s="102"/>
      <c r="N53" s="63">
        <f>ROUNDDOWN(4000*2^(L53-1),0)</f>
        <v>2000</v>
      </c>
      <c r="O53" s="90">
        <f>ROUNDDOWN(2000*2^(L53-1),0)</f>
        <v>1000</v>
      </c>
    </row>
    <row r="54" spans="1:15" ht="12.75">
      <c r="A54" s="99" t="s">
        <v>19</v>
      </c>
      <c r="B54" s="110"/>
      <c r="C54" s="111" t="str">
        <f aca="true" t="shared" si="24" ref="C54:J54">IF(C$36&gt;=1,IF(C$36&gt;0,IF($B54&gt;0,$B54," ")," ")," ")</f>
        <v> </v>
      </c>
      <c r="D54" s="111" t="str">
        <f t="shared" si="24"/>
        <v> </v>
      </c>
      <c r="E54" s="111" t="str">
        <f t="shared" si="24"/>
        <v> </v>
      </c>
      <c r="F54" s="111" t="str">
        <f t="shared" si="24"/>
        <v> </v>
      </c>
      <c r="G54" s="111" t="str">
        <f t="shared" si="24"/>
        <v> </v>
      </c>
      <c r="H54" s="111" t="str">
        <f t="shared" si="24"/>
        <v> </v>
      </c>
      <c r="I54" s="111" t="str">
        <f t="shared" si="24"/>
        <v> </v>
      </c>
      <c r="J54" s="111" t="str">
        <f t="shared" si="24"/>
        <v> </v>
      </c>
      <c r="K54" s="61"/>
      <c r="L54" s="61"/>
      <c r="M54" s="63">
        <f>ROUNDDOWN(400*2^(L54-1),0)</f>
        <v>200</v>
      </c>
      <c r="N54" s="68"/>
      <c r="O54" s="90">
        <f>ROUNDDOWN(600*2^(L54-1),0)</f>
        <v>300</v>
      </c>
    </row>
    <row r="55" spans="1:15" ht="12.75">
      <c r="A55" s="99" t="s">
        <v>20</v>
      </c>
      <c r="B55" s="110"/>
      <c r="C55" s="111" t="str">
        <f aca="true" t="shared" si="25" ref="C55:J55">IF(C$36&gt;=2,IF(C$36&gt;0,IF($B55&gt;0,$B55," ")," ")," ")</f>
        <v> </v>
      </c>
      <c r="D55" s="111" t="str">
        <f t="shared" si="25"/>
        <v> </v>
      </c>
      <c r="E55" s="111" t="str">
        <f t="shared" si="25"/>
        <v> </v>
      </c>
      <c r="F55" s="111" t="str">
        <f t="shared" si="25"/>
        <v> </v>
      </c>
      <c r="G55" s="111" t="str">
        <f t="shared" si="25"/>
        <v> </v>
      </c>
      <c r="H55" s="111" t="str">
        <f t="shared" si="25"/>
        <v> </v>
      </c>
      <c r="I55" s="111" t="str">
        <f t="shared" si="25"/>
        <v> </v>
      </c>
      <c r="J55" s="111" t="str">
        <f t="shared" si="25"/>
        <v> </v>
      </c>
      <c r="K55" s="61"/>
      <c r="L55" s="61"/>
      <c r="M55" s="63">
        <f>ROUNDDOWN(2000*2^(L55-1),0)</f>
        <v>1000</v>
      </c>
      <c r="N55" s="63">
        <f>ROUNDDOWN(4000*2^(L55-1),0)</f>
        <v>2000</v>
      </c>
      <c r="O55" s="90">
        <f>ROUNDDOWN(600*2^(L55-1),0)</f>
        <v>300</v>
      </c>
    </row>
    <row r="56" spans="1:15" ht="12.75">
      <c r="A56" s="99" t="s">
        <v>21</v>
      </c>
      <c r="B56" s="110"/>
      <c r="C56" s="111" t="str">
        <f aca="true" t="shared" si="26" ref="C56:J56">IF(C$36&gt;=7,IF(C$36&gt;0,IF($B56&gt;0,$B56," ")," ")," ")</f>
        <v> </v>
      </c>
      <c r="D56" s="111" t="str">
        <f t="shared" si="26"/>
        <v> </v>
      </c>
      <c r="E56" s="111" t="str">
        <f t="shared" si="26"/>
        <v> </v>
      </c>
      <c r="F56" s="111" t="str">
        <f t="shared" si="26"/>
        <v> </v>
      </c>
      <c r="G56" s="111" t="str">
        <f t="shared" si="26"/>
        <v> </v>
      </c>
      <c r="H56" s="111" t="str">
        <f t="shared" si="26"/>
        <v> </v>
      </c>
      <c r="I56" s="111" t="str">
        <f t="shared" si="26"/>
        <v> </v>
      </c>
      <c r="J56" s="111" t="str">
        <f t="shared" si="26"/>
        <v> </v>
      </c>
      <c r="K56" s="61"/>
      <c r="L56" s="61"/>
      <c r="M56" s="63">
        <f>ROUNDDOWN(10000*2^(L56-1),0)</f>
        <v>5000</v>
      </c>
      <c r="N56" s="63">
        <f>ROUNDDOWN(20000*2^(L56-1),0)</f>
        <v>10000</v>
      </c>
      <c r="O56" s="90">
        <f>ROUNDDOWN(6000*2^(L56-1),0)</f>
        <v>3000</v>
      </c>
    </row>
    <row r="57" spans="1:15" ht="12.75">
      <c r="A57" s="99" t="s">
        <v>22</v>
      </c>
      <c r="B57" s="110"/>
      <c r="C57" s="111" t="str">
        <f aca="true" t="shared" si="27" ref="C57:J58">IF(C$36&gt;=3,IF(C$36&gt;0,IF($B57&gt;0,$B57," ")," ")," ")</f>
        <v> </v>
      </c>
      <c r="D57" s="111" t="str">
        <f t="shared" si="27"/>
        <v> </v>
      </c>
      <c r="E57" s="111" t="str">
        <f t="shared" si="27"/>
        <v> </v>
      </c>
      <c r="F57" s="111" t="str">
        <f t="shared" si="27"/>
        <v> </v>
      </c>
      <c r="G57" s="111" t="str">
        <f t="shared" si="27"/>
        <v> </v>
      </c>
      <c r="H57" s="111" t="str">
        <f t="shared" si="27"/>
        <v> </v>
      </c>
      <c r="I57" s="111" t="str">
        <f t="shared" si="27"/>
        <v> </v>
      </c>
      <c r="J57" s="111" t="str">
        <f t="shared" si="27"/>
        <v> </v>
      </c>
      <c r="K57" s="61"/>
      <c r="L57" s="61"/>
      <c r="M57" s="63">
        <f>ROUNDDOWN(200*2^(L57-1),0)</f>
        <v>100</v>
      </c>
      <c r="N57" s="63">
        <f>ROUNDDOWN(100*2^(L57-1),0)</f>
        <v>50</v>
      </c>
      <c r="O57" s="64"/>
    </row>
    <row r="58" spans="1:15" ht="12.75">
      <c r="A58" s="99" t="s">
        <v>23</v>
      </c>
      <c r="B58" s="110"/>
      <c r="C58" s="111" t="str">
        <f t="shared" si="27"/>
        <v> </v>
      </c>
      <c r="D58" s="111" t="str">
        <f t="shared" si="27"/>
        <v> </v>
      </c>
      <c r="E58" s="111" t="str">
        <f t="shared" si="27"/>
        <v> </v>
      </c>
      <c r="F58" s="111" t="str">
        <f t="shared" si="27"/>
        <v> </v>
      </c>
      <c r="G58" s="111" t="str">
        <f t="shared" si="27"/>
        <v> </v>
      </c>
      <c r="H58" s="111" t="str">
        <f t="shared" si="27"/>
        <v> </v>
      </c>
      <c r="I58" s="111" t="str">
        <f t="shared" si="27"/>
        <v> </v>
      </c>
      <c r="J58" s="111" t="str">
        <f t="shared" si="27"/>
        <v> </v>
      </c>
      <c r="K58" s="61"/>
      <c r="L58" s="61"/>
      <c r="M58" s="63">
        <f>ROUNDDOWN(1000*2^(L58-1),0)</f>
        <v>500</v>
      </c>
      <c r="N58" s="63">
        <f>ROUNDDOWN(300*2^(L58-1),0)</f>
        <v>150</v>
      </c>
      <c r="O58" s="90">
        <f>ROUNDDOWN(100*2^(L58-1),0)</f>
        <v>50</v>
      </c>
    </row>
    <row r="59" spans="1:15" ht="12.75">
      <c r="A59" s="99" t="s">
        <v>24</v>
      </c>
      <c r="B59" s="110"/>
      <c r="C59" s="111" t="str">
        <f aca="true" t="shared" si="28" ref="C59:J59">IF(C$36&gt;=4,IF(C$36&gt;0,IF($B59&gt;0,$B59," ")," ")," ")</f>
        <v> </v>
      </c>
      <c r="D59" s="111" t="str">
        <f t="shared" si="28"/>
        <v> </v>
      </c>
      <c r="E59" s="111" t="str">
        <f t="shared" si="28"/>
        <v> </v>
      </c>
      <c r="F59" s="111" t="str">
        <f t="shared" si="28"/>
        <v> </v>
      </c>
      <c r="G59" s="111" t="str">
        <f t="shared" si="28"/>
        <v> </v>
      </c>
      <c r="H59" s="111" t="str">
        <f t="shared" si="28"/>
        <v> </v>
      </c>
      <c r="I59" s="111" t="str">
        <f t="shared" si="28"/>
        <v> </v>
      </c>
      <c r="J59" s="111" t="str">
        <f t="shared" si="28"/>
        <v> </v>
      </c>
      <c r="K59" s="61"/>
      <c r="L59" s="61"/>
      <c r="M59" s="63">
        <f>ROUNDDOWN(2000*2^(L59-1),0)</f>
        <v>1000</v>
      </c>
      <c r="N59" s="63">
        <f>ROUNDDOWN(4000*2^(L59-1),0)</f>
        <v>2000</v>
      </c>
      <c r="O59" s="90">
        <f>ROUNDDOWN(1000*2^(L59-1),0)</f>
        <v>500</v>
      </c>
    </row>
    <row r="60" spans="1:15" ht="12.75">
      <c r="A60" s="99" t="s">
        <v>25</v>
      </c>
      <c r="B60" s="110"/>
      <c r="C60" s="111" t="str">
        <f aca="true" t="shared" si="29" ref="C60:J60">IF(C$36&gt;=10,IF(C$36&gt;0,IF($B60&gt;0,$B60," ")," ")," ")</f>
        <v> </v>
      </c>
      <c r="D60" s="111" t="str">
        <f t="shared" si="29"/>
        <v> </v>
      </c>
      <c r="E60" s="111" t="str">
        <f t="shared" si="29"/>
        <v> </v>
      </c>
      <c r="F60" s="111" t="str">
        <f t="shared" si="29"/>
        <v> </v>
      </c>
      <c r="G60" s="111" t="str">
        <f t="shared" si="29"/>
        <v> </v>
      </c>
      <c r="H60" s="111" t="str">
        <f t="shared" si="29"/>
        <v> </v>
      </c>
      <c r="I60" s="111" t="str">
        <f t="shared" si="29"/>
        <v> </v>
      </c>
      <c r="J60" s="111" t="str">
        <f t="shared" si="29"/>
        <v> </v>
      </c>
      <c r="K60" s="61"/>
      <c r="L60" s="61"/>
      <c r="M60" s="63">
        <f>ROUNDDOWN(240000*2^(L60-1),0)</f>
        <v>120000</v>
      </c>
      <c r="N60" s="63">
        <f>ROUNDDOWN(400000*2^(L60-1),0)</f>
        <v>200000</v>
      </c>
      <c r="O60" s="90">
        <f>ROUNDDOWN(160000*2^(L60-1),0)</f>
        <v>80000</v>
      </c>
    </row>
    <row r="61" spans="1:15" ht="12.75">
      <c r="A61" s="99" t="s">
        <v>26</v>
      </c>
      <c r="B61" s="110"/>
      <c r="C61" s="111" t="str">
        <f aca="true" t="shared" si="30" ref="C61:J61">IF(C$36&gt;=12,IF(C$36&gt;0,IF($B61&gt;0,$B61," ")," ")," ")</f>
        <v> </v>
      </c>
      <c r="D61" s="111" t="str">
        <f t="shared" si="30"/>
        <v> </v>
      </c>
      <c r="E61" s="111" t="str">
        <f t="shared" si="30"/>
        <v> </v>
      </c>
      <c r="F61" s="111" t="str">
        <f t="shared" si="30"/>
        <v> </v>
      </c>
      <c r="G61" s="111" t="str">
        <f t="shared" si="30"/>
        <v> </v>
      </c>
      <c r="H61" s="111" t="str">
        <f t="shared" si="30"/>
        <v> </v>
      </c>
      <c r="I61" s="111" t="str">
        <f t="shared" si="30"/>
        <v> </v>
      </c>
      <c r="J61" s="111" t="str">
        <f t="shared" si="30"/>
        <v> </v>
      </c>
      <c r="K61" s="61"/>
      <c r="L61" s="61"/>
      <c r="M61" s="85">
        <v>0</v>
      </c>
      <c r="N61" s="85">
        <v>0</v>
      </c>
      <c r="O61" s="86">
        <v>0</v>
      </c>
    </row>
    <row r="62" spans="1:15" ht="13.5" thickBot="1">
      <c r="A62" s="112" t="s">
        <v>69</v>
      </c>
      <c r="B62" s="113">
        <f>SUM(B47:B61)</f>
        <v>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7">
        <f>SUM(L47:L61)</f>
        <v>0</v>
      </c>
      <c r="M62" s="115"/>
      <c r="N62" s="115"/>
      <c r="O62" s="116"/>
    </row>
    <row r="63" spans="1:15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118"/>
      <c r="N63" s="118"/>
      <c r="O63" s="119"/>
    </row>
    <row r="64" spans="1:15" ht="12.75">
      <c r="A64" s="60" t="s">
        <v>38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2"/>
      <c r="M64" s="120"/>
      <c r="N64" s="120"/>
      <c r="O64" s="121"/>
    </row>
    <row r="65" spans="1:15" ht="12.75">
      <c r="A65" s="99" t="s">
        <v>27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85">
        <v>2000</v>
      </c>
      <c r="N65" s="68"/>
      <c r="O65" s="122"/>
    </row>
    <row r="66" spans="1:15" ht="12.75">
      <c r="A66" s="99" t="s">
        <v>28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85">
        <v>1500</v>
      </c>
      <c r="N66" s="85">
        <v>500</v>
      </c>
      <c r="O66" s="122"/>
    </row>
    <row r="67" spans="1:15" ht="12.75">
      <c r="A67" s="99" t="s">
        <v>29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85">
        <v>6000</v>
      </c>
      <c r="N67" s="85">
        <v>2000</v>
      </c>
      <c r="O67" s="122"/>
    </row>
    <row r="68" spans="1:15" ht="12.75">
      <c r="A68" s="99" t="s">
        <v>30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85">
        <v>20000</v>
      </c>
      <c r="N68" s="85">
        <v>15000</v>
      </c>
      <c r="O68" s="86">
        <v>2000</v>
      </c>
    </row>
    <row r="69" spans="1:15" ht="12.75">
      <c r="A69" s="99" t="s">
        <v>31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85">
        <v>2000</v>
      </c>
      <c r="N69" s="85">
        <v>6000</v>
      </c>
      <c r="O69" s="122"/>
    </row>
    <row r="70" spans="1:15" ht="12.75">
      <c r="A70" s="99" t="s">
        <v>32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85">
        <v>50000</v>
      </c>
      <c r="N70" s="85">
        <v>50000</v>
      </c>
      <c r="O70" s="86">
        <v>30000</v>
      </c>
    </row>
    <row r="71" spans="1:15" ht="12.75">
      <c r="A71" s="99" t="s">
        <v>33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85">
        <v>10000</v>
      </c>
      <c r="N71" s="85">
        <v>10000</v>
      </c>
      <c r="O71" s="122"/>
    </row>
    <row r="72" spans="1:15" ht="12.75">
      <c r="A72" s="99" t="s">
        <v>34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85">
        <v>50000</v>
      </c>
      <c r="N72" s="85">
        <v>50000</v>
      </c>
      <c r="O72" s="122"/>
    </row>
    <row r="73" spans="1:15" ht="12.75">
      <c r="A73" s="99" t="s">
        <v>35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85">
        <v>8000</v>
      </c>
      <c r="N73" s="68"/>
      <c r="O73" s="86">
        <v>2000</v>
      </c>
    </row>
    <row r="74" spans="1:15" ht="12.75">
      <c r="A74" s="99" t="s">
        <v>36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85">
        <v>12500</v>
      </c>
      <c r="N74" s="85">
        <v>2500</v>
      </c>
      <c r="O74" s="86">
        <v>10000</v>
      </c>
    </row>
    <row r="75" spans="1:15" ht="12.75">
      <c r="A75" s="60" t="s">
        <v>66</v>
      </c>
      <c r="B75" s="123">
        <f aca="true" t="shared" si="31" ref="B75:J75">SUM(B65:B74)</f>
        <v>0</v>
      </c>
      <c r="C75" s="123">
        <f t="shared" si="31"/>
        <v>0</v>
      </c>
      <c r="D75" s="123">
        <f t="shared" si="31"/>
        <v>0</v>
      </c>
      <c r="E75" s="123">
        <f t="shared" si="31"/>
        <v>0</v>
      </c>
      <c r="F75" s="123">
        <f t="shared" si="31"/>
        <v>0</v>
      </c>
      <c r="G75" s="123">
        <f t="shared" si="31"/>
        <v>0</v>
      </c>
      <c r="H75" s="123">
        <f t="shared" si="31"/>
        <v>0</v>
      </c>
      <c r="I75" s="123">
        <f t="shared" si="31"/>
        <v>0</v>
      </c>
      <c r="J75" s="123">
        <f t="shared" si="31"/>
        <v>0</v>
      </c>
      <c r="K75" s="124"/>
      <c r="L75" s="125"/>
      <c r="M75" s="25"/>
      <c r="N75" s="25"/>
      <c r="O75" s="26"/>
    </row>
    <row r="76" spans="1:15" ht="13.5" thickBot="1">
      <c r="A76" s="126" t="s">
        <v>67</v>
      </c>
      <c r="B76" s="127">
        <f aca="true" t="shared" si="32" ref="B76:J76">(B65*$B187)+(B66*$B188)+(B67*$B189)+(B68*$B190)+($B191*B69)+(B70*$B192)</f>
        <v>0</v>
      </c>
      <c r="C76" s="127">
        <f t="shared" si="32"/>
        <v>0</v>
      </c>
      <c r="D76" s="127">
        <f t="shared" si="32"/>
        <v>0</v>
      </c>
      <c r="E76" s="127">
        <f t="shared" si="32"/>
        <v>0</v>
      </c>
      <c r="F76" s="127">
        <f t="shared" si="32"/>
        <v>0</v>
      </c>
      <c r="G76" s="127">
        <f t="shared" si="32"/>
        <v>0</v>
      </c>
      <c r="H76" s="127">
        <f t="shared" si="32"/>
        <v>0</v>
      </c>
      <c r="I76" s="127">
        <f t="shared" si="32"/>
        <v>0</v>
      </c>
      <c r="J76" s="127">
        <f t="shared" si="32"/>
        <v>0</v>
      </c>
      <c r="K76" s="128"/>
      <c r="L76" s="129"/>
      <c r="M76" s="130"/>
      <c r="N76" s="130"/>
      <c r="O76" s="131"/>
    </row>
    <row r="77" spans="1:15" ht="12.75">
      <c r="A77" s="132" t="s">
        <v>0</v>
      </c>
      <c r="B77" s="133" t="str">
        <f aca="true" t="shared" si="33" ref="B77:J77">IF(B3=""," ",B3)</f>
        <v> </v>
      </c>
      <c r="C77" s="133" t="str">
        <f t="shared" si="33"/>
        <v> </v>
      </c>
      <c r="D77" s="133" t="str">
        <f t="shared" si="33"/>
        <v> </v>
      </c>
      <c r="E77" s="133" t="str">
        <f t="shared" si="33"/>
        <v> </v>
      </c>
      <c r="F77" s="133" t="str">
        <f t="shared" si="33"/>
        <v> </v>
      </c>
      <c r="G77" s="133" t="str">
        <f t="shared" si="33"/>
        <v> </v>
      </c>
      <c r="H77" s="133" t="str">
        <f t="shared" si="33"/>
        <v> </v>
      </c>
      <c r="I77" s="133" t="str">
        <f t="shared" si="33"/>
        <v> </v>
      </c>
      <c r="J77" s="133" t="str">
        <f t="shared" si="33"/>
        <v> </v>
      </c>
      <c r="K77" s="134"/>
      <c r="L77" s="134"/>
      <c r="M77" s="134"/>
      <c r="N77" s="134"/>
      <c r="O77" s="135"/>
    </row>
    <row r="78" spans="1:15" ht="12.75">
      <c r="A78" s="136"/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80"/>
    </row>
    <row r="79" spans="1:15" ht="12.75">
      <c r="A79" s="137" t="s">
        <v>96</v>
      </c>
      <c r="B79" s="181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3"/>
    </row>
    <row r="80" spans="1:15" ht="12.75">
      <c r="A80" s="138" t="s">
        <v>97</v>
      </c>
      <c r="B80" s="139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211" t="s">
        <v>104</v>
      </c>
      <c r="N80" s="211"/>
      <c r="O80" s="212"/>
    </row>
    <row r="81" spans="1:15" ht="12.75">
      <c r="A81" s="138" t="s">
        <v>98</v>
      </c>
      <c r="B81" s="139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140">
        <f>L86^2-1</f>
        <v>0</v>
      </c>
      <c r="N81" s="213" t="s">
        <v>103</v>
      </c>
      <c r="O81" s="214"/>
    </row>
    <row r="82" spans="1:15" ht="12.75">
      <c r="A82" s="138" t="s">
        <v>99</v>
      </c>
      <c r="B82" s="141">
        <f>IF(B83=0,0,B83*3+1)</f>
        <v>0</v>
      </c>
      <c r="C82" s="141">
        <f aca="true" t="shared" si="34" ref="C82:J82">IF(C83=0,0,C83*3+1)</f>
        <v>0</v>
      </c>
      <c r="D82" s="141">
        <f t="shared" si="34"/>
        <v>0</v>
      </c>
      <c r="E82" s="141">
        <f t="shared" si="34"/>
        <v>0</v>
      </c>
      <c r="F82" s="141">
        <f t="shared" si="34"/>
        <v>0</v>
      </c>
      <c r="G82" s="141">
        <f t="shared" si="34"/>
        <v>0</v>
      </c>
      <c r="H82" s="141">
        <f t="shared" si="34"/>
        <v>0</v>
      </c>
      <c r="I82" s="141">
        <f t="shared" si="34"/>
        <v>0</v>
      </c>
      <c r="J82" s="141">
        <f t="shared" si="34"/>
        <v>0</v>
      </c>
      <c r="K82" s="61"/>
      <c r="L82" s="61"/>
      <c r="M82" s="85"/>
      <c r="N82" s="85"/>
      <c r="O82" s="86"/>
    </row>
    <row r="83" spans="1:15" ht="12.75">
      <c r="A83" s="99" t="s">
        <v>100</v>
      </c>
      <c r="B83" s="139"/>
      <c r="C83" s="61"/>
      <c r="D83" s="61"/>
      <c r="E83" s="61"/>
      <c r="F83" s="61"/>
      <c r="G83" s="61"/>
      <c r="H83" s="61"/>
      <c r="I83" s="61"/>
      <c r="J83" s="61"/>
      <c r="K83" s="61"/>
      <c r="L83" s="61">
        <v>1</v>
      </c>
      <c r="M83" s="63">
        <f>20000*L83</f>
        <v>20000</v>
      </c>
      <c r="N83" s="63">
        <f>40000*L83</f>
        <v>40000</v>
      </c>
      <c r="O83" s="90">
        <f>20000*L83</f>
        <v>20000</v>
      </c>
    </row>
    <row r="84" spans="1:15" ht="12.75">
      <c r="A84" s="99" t="s">
        <v>11</v>
      </c>
      <c r="B84" s="139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3">
        <f>ROUNDDOWN(400*2^L84,0)</f>
        <v>400</v>
      </c>
      <c r="N84" s="63">
        <f>ROUNDDOWN(200*2^(L84-1),0)</f>
        <v>100</v>
      </c>
      <c r="O84" s="90">
        <f>ROUNDDOWN(100*2^(L84-1),0)</f>
        <v>50</v>
      </c>
    </row>
    <row r="85" spans="1:15" ht="12.75">
      <c r="A85" s="99" t="s">
        <v>10</v>
      </c>
      <c r="B85" s="139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3">
        <f>ROUNDDOWN(400*2^(L85-1),0)</f>
        <v>200</v>
      </c>
      <c r="N85" s="63">
        <f>ROUNDDOWN(120*2^(L85-1),0)</f>
        <v>60</v>
      </c>
      <c r="O85" s="90">
        <f>ROUNDDOWN(200*2^(L85-1),0)</f>
        <v>100</v>
      </c>
    </row>
    <row r="86" spans="1:15" ht="12.75">
      <c r="A86" s="99" t="s">
        <v>101</v>
      </c>
      <c r="B86" s="139"/>
      <c r="C86" s="61"/>
      <c r="D86" s="61"/>
      <c r="E86" s="61"/>
      <c r="F86" s="61"/>
      <c r="G86" s="61"/>
      <c r="H86" s="61"/>
      <c r="I86" s="61"/>
      <c r="J86" s="61"/>
      <c r="K86" s="61"/>
      <c r="L86" s="61">
        <v>1</v>
      </c>
      <c r="M86" s="63">
        <f>20000*L86</f>
        <v>20000</v>
      </c>
      <c r="N86" s="63">
        <f>40000*L86</f>
        <v>40000</v>
      </c>
      <c r="O86" s="90">
        <f>20000*L86</f>
        <v>20000</v>
      </c>
    </row>
    <row r="87" spans="1:15" ht="12.75">
      <c r="A87" s="99" t="s">
        <v>102</v>
      </c>
      <c r="B87" s="139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85">
        <v>2000000</v>
      </c>
      <c r="N87" s="85">
        <v>4000000</v>
      </c>
      <c r="O87" s="86">
        <v>2000000</v>
      </c>
    </row>
    <row r="88" spans="1:15" ht="12.75">
      <c r="A88" s="99" t="s">
        <v>51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>
        <v>1</v>
      </c>
      <c r="M88" s="63">
        <f>ROUNDDOWN(2000*2^(L88-1),0)</f>
        <v>2000</v>
      </c>
      <c r="N88" s="68"/>
      <c r="O88" s="64"/>
    </row>
    <row r="89" spans="1:15" ht="12.75">
      <c r="A89" s="65" t="s">
        <v>60</v>
      </c>
      <c r="B89" s="100">
        <f aca="true" t="shared" si="35" ref="B89:J89">IF(B88=0,100,100+(50*ROUNDDOWN(1.6^B88,0)))</f>
        <v>100</v>
      </c>
      <c r="C89" s="100">
        <f t="shared" si="35"/>
        <v>100</v>
      </c>
      <c r="D89" s="100">
        <f t="shared" si="35"/>
        <v>100</v>
      </c>
      <c r="E89" s="100">
        <f t="shared" si="35"/>
        <v>100</v>
      </c>
      <c r="F89" s="100">
        <f t="shared" si="35"/>
        <v>100</v>
      </c>
      <c r="G89" s="100">
        <f t="shared" si="35"/>
        <v>100</v>
      </c>
      <c r="H89" s="100">
        <f t="shared" si="35"/>
        <v>100</v>
      </c>
      <c r="I89" s="100">
        <f t="shared" si="35"/>
        <v>100</v>
      </c>
      <c r="J89" s="100">
        <f t="shared" si="35"/>
        <v>100</v>
      </c>
      <c r="K89" s="100">
        <f>SUM(B89:J89)</f>
        <v>900</v>
      </c>
      <c r="L89" s="101"/>
      <c r="M89" s="102"/>
      <c r="N89" s="102"/>
      <c r="O89" s="103"/>
    </row>
    <row r="90" spans="1:15" ht="12.75">
      <c r="A90" s="99" t="s">
        <v>52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42"/>
      <c r="L90" s="61">
        <v>1</v>
      </c>
      <c r="M90" s="63">
        <f>ROUNDDOWN(2000*2^(L90-1),0)</f>
        <v>2000</v>
      </c>
      <c r="N90" s="63">
        <f>ROUNDDOWN(1000*2^(L90-1),0)</f>
        <v>1000</v>
      </c>
      <c r="O90" s="64"/>
    </row>
    <row r="91" spans="1:15" ht="12.75">
      <c r="A91" s="65" t="s">
        <v>60</v>
      </c>
      <c r="B91" s="100">
        <f aca="true" t="shared" si="36" ref="B91:J91">IF(B90=0,100,100+(50*ROUNDDOWN(1.6^B90,0)))</f>
        <v>100</v>
      </c>
      <c r="C91" s="100">
        <f t="shared" si="36"/>
        <v>100</v>
      </c>
      <c r="D91" s="100">
        <f t="shared" si="36"/>
        <v>100</v>
      </c>
      <c r="E91" s="100">
        <f t="shared" si="36"/>
        <v>100</v>
      </c>
      <c r="F91" s="100">
        <f t="shared" si="36"/>
        <v>100</v>
      </c>
      <c r="G91" s="100">
        <f t="shared" si="36"/>
        <v>100</v>
      </c>
      <c r="H91" s="100">
        <f t="shared" si="36"/>
        <v>100</v>
      </c>
      <c r="I91" s="100">
        <f t="shared" si="36"/>
        <v>100</v>
      </c>
      <c r="J91" s="100">
        <f t="shared" si="36"/>
        <v>100</v>
      </c>
      <c r="K91" s="100">
        <f>SUM(B91:J91)</f>
        <v>900</v>
      </c>
      <c r="L91" s="101"/>
      <c r="M91" s="102"/>
      <c r="N91" s="102"/>
      <c r="O91" s="103"/>
    </row>
    <row r="92" spans="1:15" ht="12.75">
      <c r="A92" s="99" t="s">
        <v>53</v>
      </c>
      <c r="B92" s="61"/>
      <c r="C92" s="61"/>
      <c r="D92" s="61"/>
      <c r="E92" s="61"/>
      <c r="F92" s="61"/>
      <c r="G92" s="61"/>
      <c r="H92" s="61"/>
      <c r="I92" s="61"/>
      <c r="J92" s="61"/>
      <c r="K92" s="104"/>
      <c r="L92" s="61">
        <v>1</v>
      </c>
      <c r="M92" s="63">
        <f>ROUNDDOWN(2000*2^(L92-1),0)</f>
        <v>2000</v>
      </c>
      <c r="N92" s="63">
        <f>ROUNDDOWN(2000*2^(L92-1),0)</f>
        <v>2000</v>
      </c>
      <c r="O92" s="64"/>
    </row>
    <row r="93" spans="1:15" ht="12.75">
      <c r="A93" s="65" t="s">
        <v>60</v>
      </c>
      <c r="B93" s="100">
        <f aca="true" t="shared" si="37" ref="B93:J93">IF(B92=0,100,100+(50*ROUNDDOWN(1.6^B92,0)))</f>
        <v>100</v>
      </c>
      <c r="C93" s="100">
        <f t="shared" si="37"/>
        <v>100</v>
      </c>
      <c r="D93" s="100">
        <f t="shared" si="37"/>
        <v>100</v>
      </c>
      <c r="E93" s="100">
        <f t="shared" si="37"/>
        <v>100</v>
      </c>
      <c r="F93" s="100">
        <f t="shared" si="37"/>
        <v>100</v>
      </c>
      <c r="G93" s="100">
        <f t="shared" si="37"/>
        <v>100</v>
      </c>
      <c r="H93" s="100">
        <f t="shared" si="37"/>
        <v>100</v>
      </c>
      <c r="I93" s="100">
        <f t="shared" si="37"/>
        <v>100</v>
      </c>
      <c r="J93" s="100">
        <f t="shared" si="37"/>
        <v>100</v>
      </c>
      <c r="K93" s="100">
        <f>SUM(B93:J93)</f>
        <v>900</v>
      </c>
      <c r="L93" s="101"/>
      <c r="M93" s="102"/>
      <c r="N93" s="102"/>
      <c r="O93" s="103"/>
    </row>
    <row r="94" spans="1:15" ht="12.75">
      <c r="A94" s="99" t="s">
        <v>27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85">
        <v>2000</v>
      </c>
      <c r="N94" s="68"/>
      <c r="O94" s="122"/>
    </row>
    <row r="95" spans="1:15" ht="12.75">
      <c r="A95" s="99" t="s">
        <v>28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85">
        <v>1500</v>
      </c>
      <c r="N95" s="85">
        <v>500</v>
      </c>
      <c r="O95" s="122"/>
    </row>
    <row r="96" spans="1:15" ht="12.75">
      <c r="A96" s="99" t="s">
        <v>29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85">
        <v>6000</v>
      </c>
      <c r="N96" s="85">
        <v>2000</v>
      </c>
      <c r="O96" s="122"/>
    </row>
    <row r="97" spans="1:15" ht="12.75">
      <c r="A97" s="99" t="s">
        <v>30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85">
        <v>20000</v>
      </c>
      <c r="N97" s="85">
        <v>15000</v>
      </c>
      <c r="O97" s="86">
        <v>2000</v>
      </c>
    </row>
    <row r="98" spans="1:15" ht="12.75">
      <c r="A98" s="99" t="s">
        <v>31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85">
        <v>2000</v>
      </c>
      <c r="N98" s="85">
        <v>6000</v>
      </c>
      <c r="O98" s="122"/>
    </row>
    <row r="99" spans="1:15" ht="12.75">
      <c r="A99" s="99" t="s">
        <v>32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85">
        <v>50000</v>
      </c>
      <c r="N99" s="85">
        <v>50000</v>
      </c>
      <c r="O99" s="86">
        <v>30000</v>
      </c>
    </row>
    <row r="100" spans="1:15" ht="12.75">
      <c r="A100" s="99" t="s">
        <v>33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85">
        <v>10000</v>
      </c>
      <c r="N100" s="85">
        <v>10000</v>
      </c>
      <c r="O100" s="122"/>
    </row>
    <row r="101" spans="1:15" ht="12.75">
      <c r="A101" s="99" t="s">
        <v>34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85">
        <v>50000</v>
      </c>
      <c r="N101" s="85">
        <v>50000</v>
      </c>
      <c r="O101" s="122"/>
    </row>
    <row r="102" spans="1:15" ht="12.75">
      <c r="A102" s="60" t="s">
        <v>66</v>
      </c>
      <c r="B102" s="123">
        <f aca="true" t="shared" si="38" ref="B102:J102">SUM(B94:B101)</f>
        <v>0</v>
      </c>
      <c r="C102" s="123">
        <f t="shared" si="38"/>
        <v>0</v>
      </c>
      <c r="D102" s="123">
        <f t="shared" si="38"/>
        <v>0</v>
      </c>
      <c r="E102" s="123">
        <f t="shared" si="38"/>
        <v>0</v>
      </c>
      <c r="F102" s="123">
        <f t="shared" si="38"/>
        <v>0</v>
      </c>
      <c r="G102" s="123">
        <f t="shared" si="38"/>
        <v>0</v>
      </c>
      <c r="H102" s="123">
        <f t="shared" si="38"/>
        <v>0</v>
      </c>
      <c r="I102" s="123">
        <f t="shared" si="38"/>
        <v>0</v>
      </c>
      <c r="J102" s="123">
        <f t="shared" si="38"/>
        <v>0</v>
      </c>
      <c r="K102" s="124"/>
      <c r="L102" s="143"/>
      <c r="M102" s="25"/>
      <c r="N102" s="25"/>
      <c r="O102" s="26"/>
    </row>
    <row r="103" spans="1:15" ht="13.5" thickBot="1">
      <c r="A103" s="144" t="s">
        <v>67</v>
      </c>
      <c r="B103" s="145">
        <f>(B94*$B187)+(B95*$B188)+(B96*$B189)+(B97*$B190)+($B191*B98)+(B99*$B192)</f>
        <v>0</v>
      </c>
      <c r="C103" s="145">
        <f aca="true" t="shared" si="39" ref="C103:J103">(C94*$B187)+(C95*$B188)+(C96*$B189)+(C97*$B190)+($B191*C98)+(C99*$B192)</f>
        <v>0</v>
      </c>
      <c r="D103" s="145">
        <f t="shared" si="39"/>
        <v>0</v>
      </c>
      <c r="E103" s="145">
        <f t="shared" si="39"/>
        <v>0</v>
      </c>
      <c r="F103" s="145">
        <f t="shared" si="39"/>
        <v>0</v>
      </c>
      <c r="G103" s="145">
        <f t="shared" si="39"/>
        <v>0</v>
      </c>
      <c r="H103" s="145">
        <f t="shared" si="39"/>
        <v>0</v>
      </c>
      <c r="I103" s="145">
        <f t="shared" si="39"/>
        <v>0</v>
      </c>
      <c r="J103" s="145">
        <f t="shared" si="39"/>
        <v>0</v>
      </c>
      <c r="K103" s="146"/>
      <c r="L103" s="147"/>
      <c r="M103" s="148"/>
      <c r="N103" s="148"/>
      <c r="O103" s="149"/>
    </row>
    <row r="104" ht="14.25" thickBot="1" thickTop="1"/>
    <row r="105" spans="1:4" ht="13.5" thickTop="1">
      <c r="A105" s="150"/>
      <c r="B105" s="156"/>
      <c r="C105" s="156"/>
      <c r="D105" s="157"/>
    </row>
    <row r="106" spans="1:4" ht="12.75">
      <c r="A106" s="60" t="s">
        <v>85</v>
      </c>
      <c r="B106" s="158" t="s">
        <v>56</v>
      </c>
      <c r="C106" s="158" t="s">
        <v>105</v>
      </c>
      <c r="D106" s="159"/>
    </row>
    <row r="107" spans="1:4" ht="12.75">
      <c r="A107" s="99" t="s">
        <v>72</v>
      </c>
      <c r="B107" s="151"/>
      <c r="C107" s="139"/>
      <c r="D107" s="160" t="e">
        <f>C107/B107</f>
        <v>#DIV/0!</v>
      </c>
    </row>
    <row r="108" spans="1:4" ht="12.75">
      <c r="A108" s="99" t="s">
        <v>73</v>
      </c>
      <c r="B108" s="151"/>
      <c r="C108" s="152"/>
      <c r="D108" s="160" t="e">
        <f aca="true" t="shared" si="40" ref="D108:D119">C108/B108</f>
        <v>#DIV/0!</v>
      </c>
    </row>
    <row r="109" spans="1:4" ht="12.75">
      <c r="A109" s="99" t="s">
        <v>74</v>
      </c>
      <c r="B109" s="151"/>
      <c r="C109" s="152"/>
      <c r="D109" s="160" t="e">
        <f t="shared" si="40"/>
        <v>#DIV/0!</v>
      </c>
    </row>
    <row r="110" spans="1:15" s="16" customFormat="1" ht="12.75">
      <c r="A110" s="99" t="s">
        <v>75</v>
      </c>
      <c r="B110" s="151"/>
      <c r="C110" s="152"/>
      <c r="D110" s="160" t="e">
        <f t="shared" si="40"/>
        <v>#DIV/0!</v>
      </c>
      <c r="E110" s="13"/>
      <c r="F110" s="13"/>
      <c r="G110" s="13"/>
      <c r="H110" s="13"/>
      <c r="I110" s="13"/>
      <c r="J110" s="13"/>
      <c r="K110" s="13"/>
      <c r="M110" s="13"/>
      <c r="N110" s="13"/>
      <c r="O110" s="13"/>
    </row>
    <row r="111" spans="1:4" ht="12.75">
      <c r="A111" s="99" t="s">
        <v>76</v>
      </c>
      <c r="B111" s="151"/>
      <c r="C111" s="152"/>
      <c r="D111" s="160" t="e">
        <f t="shared" si="40"/>
        <v>#DIV/0!</v>
      </c>
    </row>
    <row r="112" spans="1:4" ht="12.75">
      <c r="A112" s="99" t="s">
        <v>77</v>
      </c>
      <c r="B112" s="151"/>
      <c r="C112" s="152"/>
      <c r="D112" s="160" t="e">
        <f t="shared" si="40"/>
        <v>#DIV/0!</v>
      </c>
    </row>
    <row r="113" spans="1:4" ht="12.75">
      <c r="A113" s="99" t="s">
        <v>78</v>
      </c>
      <c r="B113" s="151"/>
      <c r="C113" s="152"/>
      <c r="D113" s="160" t="e">
        <f t="shared" si="40"/>
        <v>#DIV/0!</v>
      </c>
    </row>
    <row r="114" spans="1:4" ht="12.75">
      <c r="A114" s="99" t="s">
        <v>79</v>
      </c>
      <c r="B114" s="151"/>
      <c r="C114" s="152"/>
      <c r="D114" s="160" t="e">
        <f t="shared" si="40"/>
        <v>#DIV/0!</v>
      </c>
    </row>
    <row r="115" spans="1:4" ht="12.75">
      <c r="A115" s="99" t="s">
        <v>80</v>
      </c>
      <c r="B115" s="151"/>
      <c r="C115" s="152"/>
      <c r="D115" s="160" t="e">
        <f t="shared" si="40"/>
        <v>#DIV/0!</v>
      </c>
    </row>
    <row r="116" spans="1:4" ht="12.75">
      <c r="A116" s="99" t="s">
        <v>81</v>
      </c>
      <c r="B116" s="151"/>
      <c r="C116" s="152"/>
      <c r="D116" s="160" t="e">
        <f t="shared" si="40"/>
        <v>#DIV/0!</v>
      </c>
    </row>
    <row r="117" spans="1:4" ht="12.75">
      <c r="A117" s="99" t="s">
        <v>82</v>
      </c>
      <c r="B117" s="151"/>
      <c r="C117" s="152"/>
      <c r="D117" s="160" t="e">
        <f t="shared" si="40"/>
        <v>#DIV/0!</v>
      </c>
    </row>
    <row r="118" spans="1:4" ht="12.75">
      <c r="A118" s="99" t="s">
        <v>83</v>
      </c>
      <c r="B118" s="151"/>
      <c r="C118" s="152"/>
      <c r="D118" s="160" t="e">
        <f t="shared" si="40"/>
        <v>#DIV/0!</v>
      </c>
    </row>
    <row r="119" spans="1:4" ht="13.5" thickBot="1">
      <c r="A119" s="153" t="s">
        <v>84</v>
      </c>
      <c r="B119" s="154"/>
      <c r="C119" s="155"/>
      <c r="D119" s="161" t="e">
        <f t="shared" si="40"/>
        <v>#DIV/0!</v>
      </c>
    </row>
    <row r="120" ht="13.5" thickTop="1"/>
    <row r="121" spans="1:12" ht="21" thickBot="1">
      <c r="A121" s="204" t="s">
        <v>70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17"/>
    </row>
    <row r="122" spans="1:16" ht="26.25" thickTop="1">
      <c r="A122" s="162" t="s">
        <v>48</v>
      </c>
      <c r="B122" s="163">
        <f>B3</f>
        <v>0</v>
      </c>
      <c r="C122" s="163">
        <f aca="true" t="shared" si="41" ref="C122:J122">C3</f>
        <v>0</v>
      </c>
      <c r="D122" s="163">
        <f t="shared" si="41"/>
        <v>0</v>
      </c>
      <c r="E122" s="163">
        <f t="shared" si="41"/>
        <v>0</v>
      </c>
      <c r="F122" s="163">
        <f t="shared" si="41"/>
        <v>0</v>
      </c>
      <c r="G122" s="163">
        <f t="shared" si="41"/>
        <v>0</v>
      </c>
      <c r="H122" s="163">
        <f t="shared" si="41"/>
        <v>0</v>
      </c>
      <c r="I122" s="163">
        <f t="shared" si="41"/>
        <v>0</v>
      </c>
      <c r="J122" s="163">
        <f t="shared" si="41"/>
        <v>0</v>
      </c>
      <c r="K122" s="217" t="s">
        <v>49</v>
      </c>
      <c r="L122" s="217"/>
      <c r="M122" s="164" t="s">
        <v>56</v>
      </c>
      <c r="N122" s="164" t="s">
        <v>94</v>
      </c>
      <c r="O122" s="163" t="s">
        <v>95</v>
      </c>
      <c r="P122" s="165" t="s">
        <v>93</v>
      </c>
    </row>
    <row r="123" spans="1:16" ht="12.75">
      <c r="A123" s="136" t="s">
        <v>3</v>
      </c>
      <c r="B123" s="166">
        <f>24*B12</f>
        <v>0</v>
      </c>
      <c r="C123" s="166">
        <f aca="true" t="shared" si="42" ref="C123:I123">24*C12</f>
        <v>0</v>
      </c>
      <c r="D123" s="166">
        <f t="shared" si="42"/>
        <v>0</v>
      </c>
      <c r="E123" s="166">
        <f t="shared" si="42"/>
        <v>0</v>
      </c>
      <c r="F123" s="166">
        <f t="shared" si="42"/>
        <v>0</v>
      </c>
      <c r="G123" s="166">
        <f t="shared" si="42"/>
        <v>0</v>
      </c>
      <c r="H123" s="166">
        <f t="shared" si="42"/>
        <v>0</v>
      </c>
      <c r="I123" s="166">
        <f t="shared" si="42"/>
        <v>0</v>
      </c>
      <c r="J123" s="166">
        <f>24*J12</f>
        <v>0</v>
      </c>
      <c r="K123" s="215">
        <f>SUM(B123:J123)</f>
        <v>0</v>
      </c>
      <c r="L123" s="215"/>
      <c r="M123" s="85"/>
      <c r="N123" s="85"/>
      <c r="O123" s="167">
        <f>M123-N123</f>
        <v>0</v>
      </c>
      <c r="P123" s="90" t="e">
        <f>M123/(K123+N123)</f>
        <v>#DIV/0!</v>
      </c>
    </row>
    <row r="124" spans="1:16" ht="12.75">
      <c r="A124" s="136" t="s">
        <v>4</v>
      </c>
      <c r="B124" s="166">
        <f>24*B15</f>
        <v>0</v>
      </c>
      <c r="C124" s="166">
        <f aca="true" t="shared" si="43" ref="C124:I124">24*C15</f>
        <v>0</v>
      </c>
      <c r="D124" s="166">
        <f t="shared" si="43"/>
        <v>0</v>
      </c>
      <c r="E124" s="166">
        <f t="shared" si="43"/>
        <v>0</v>
      </c>
      <c r="F124" s="166">
        <f t="shared" si="43"/>
        <v>0</v>
      </c>
      <c r="G124" s="166">
        <f t="shared" si="43"/>
        <v>0</v>
      </c>
      <c r="H124" s="166">
        <f t="shared" si="43"/>
        <v>0</v>
      </c>
      <c r="I124" s="166">
        <f t="shared" si="43"/>
        <v>0</v>
      </c>
      <c r="J124" s="166">
        <f>24*J15</f>
        <v>0</v>
      </c>
      <c r="K124" s="215">
        <f>SUM(B124:J124)</f>
        <v>0</v>
      </c>
      <c r="L124" s="215"/>
      <c r="M124" s="85">
        <v>0</v>
      </c>
      <c r="N124" s="85"/>
      <c r="O124" s="167">
        <f>M124-N124</f>
        <v>0</v>
      </c>
      <c r="P124" s="90" t="e">
        <f>M124/(K124+N124)</f>
        <v>#DIV/0!</v>
      </c>
    </row>
    <row r="125" spans="1:16" ht="13.5" thickBot="1">
      <c r="A125" s="168" t="s">
        <v>5</v>
      </c>
      <c r="B125" s="169">
        <f>24*B18</f>
        <v>0</v>
      </c>
      <c r="C125" s="169">
        <f aca="true" t="shared" si="44" ref="C125:I125">24*C18</f>
        <v>0</v>
      </c>
      <c r="D125" s="169">
        <f t="shared" si="44"/>
        <v>0</v>
      </c>
      <c r="E125" s="169">
        <f t="shared" si="44"/>
        <v>0</v>
      </c>
      <c r="F125" s="169">
        <f t="shared" si="44"/>
        <v>0</v>
      </c>
      <c r="G125" s="169">
        <f t="shared" si="44"/>
        <v>0</v>
      </c>
      <c r="H125" s="169">
        <f t="shared" si="44"/>
        <v>0</v>
      </c>
      <c r="I125" s="169">
        <f t="shared" si="44"/>
        <v>0</v>
      </c>
      <c r="J125" s="169">
        <f>24*J18</f>
        <v>0</v>
      </c>
      <c r="K125" s="216">
        <f>SUM(B125:J125)</f>
        <v>0</v>
      </c>
      <c r="L125" s="216"/>
      <c r="M125" s="170">
        <v>0</v>
      </c>
      <c r="N125" s="170"/>
      <c r="O125" s="171">
        <f>M125-N125</f>
        <v>0</v>
      </c>
      <c r="P125" s="172" t="e">
        <f>M125/(K125+N125)</f>
        <v>#DIV/0!</v>
      </c>
    </row>
    <row r="126" ht="13.5" thickTop="1"/>
    <row r="127" spans="1:12" ht="20.25">
      <c r="A127" s="204" t="s">
        <v>57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17"/>
    </row>
    <row r="186" spans="1:2" ht="13.5" thickBot="1">
      <c r="A186" s="203" t="s">
        <v>68</v>
      </c>
      <c r="B186" s="203"/>
    </row>
    <row r="187" spans="1:2" ht="12.75">
      <c r="A187" s="18" t="s">
        <v>27</v>
      </c>
      <c r="B187" s="19">
        <v>80</v>
      </c>
    </row>
    <row r="188" spans="1:2" ht="12.75">
      <c r="A188" s="20" t="s">
        <v>28</v>
      </c>
      <c r="B188" s="21">
        <v>100</v>
      </c>
    </row>
    <row r="189" spans="1:2" ht="12.75">
      <c r="A189" s="20" t="s">
        <v>29</v>
      </c>
      <c r="B189" s="21">
        <v>250</v>
      </c>
    </row>
    <row r="190" spans="1:2" ht="12.75">
      <c r="A190" s="20" t="s">
        <v>30</v>
      </c>
      <c r="B190" s="21">
        <v>1100</v>
      </c>
    </row>
    <row r="191" spans="1:2" ht="12.75">
      <c r="A191" s="20" t="s">
        <v>31</v>
      </c>
      <c r="B191" s="21">
        <v>150</v>
      </c>
    </row>
    <row r="192" spans="1:2" ht="12.75">
      <c r="A192" s="20" t="s">
        <v>32</v>
      </c>
      <c r="B192" s="21">
        <v>3000</v>
      </c>
    </row>
    <row r="193" spans="1:2" ht="12.75">
      <c r="A193" s="20" t="s">
        <v>33</v>
      </c>
      <c r="B193" s="21">
        <v>1</v>
      </c>
    </row>
    <row r="194" spans="1:2" ht="12.75">
      <c r="A194" s="20" t="s">
        <v>34</v>
      </c>
      <c r="B194" s="21">
        <v>1</v>
      </c>
    </row>
    <row r="195" spans="1:2" ht="12.75">
      <c r="A195" s="20" t="s">
        <v>35</v>
      </c>
      <c r="B195" s="21">
        <v>1</v>
      </c>
    </row>
    <row r="196" spans="1:2" ht="13.5" thickBot="1">
      <c r="A196" s="22" t="s">
        <v>36</v>
      </c>
      <c r="B196" s="23">
        <v>12000</v>
      </c>
    </row>
  </sheetData>
  <sheetProtection password="CDAB" sheet="1" objects="1" scenarios="1" selectLockedCells="1"/>
  <mergeCells count="20">
    <mergeCell ref="A186:B186"/>
    <mergeCell ref="A121:K121"/>
    <mergeCell ref="A127:K127"/>
    <mergeCell ref="M3:O4"/>
    <mergeCell ref="M80:O80"/>
    <mergeCell ref="N81:O81"/>
    <mergeCell ref="K123:L123"/>
    <mergeCell ref="K124:L124"/>
    <mergeCell ref="K125:L125"/>
    <mergeCell ref="K122:L122"/>
    <mergeCell ref="A1:O1"/>
    <mergeCell ref="M5:O5"/>
    <mergeCell ref="K3:K7"/>
    <mergeCell ref="L3:L8"/>
    <mergeCell ref="I46:O46"/>
    <mergeCell ref="B78:O79"/>
    <mergeCell ref="B20:O21"/>
    <mergeCell ref="B9:O10"/>
    <mergeCell ref="B31:O32"/>
    <mergeCell ref="B45:O45"/>
  </mergeCells>
  <printOptions/>
  <pageMargins left="0.75" right="0.75" top="1" bottom="1" header="0.4921259845" footer="0.4921259845"/>
  <pageSetup orientation="portrait" paperSize="9" r:id="rId2"/>
  <ignoredErrors>
    <ignoredError sqref="I53:J53 M34 C53 D53:H5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9"/>
  <sheetViews>
    <sheetView workbookViewId="0" topLeftCell="A1">
      <selection activeCell="C28" sqref="C28"/>
    </sheetView>
  </sheetViews>
  <sheetFormatPr defaultColWidth="11.421875" defaultRowHeight="12.75"/>
  <cols>
    <col min="1" max="5" width="19.57421875" style="0" customWidth="1"/>
    <col min="6" max="6" width="19.57421875" style="0" bestFit="1" customWidth="1"/>
  </cols>
  <sheetData>
    <row r="1" spans="1:7" ht="21" thickBot="1">
      <c r="A1" s="218" t="s">
        <v>86</v>
      </c>
      <c r="B1" s="218"/>
      <c r="C1" s="218"/>
      <c r="D1" s="218"/>
      <c r="E1" s="218"/>
      <c r="F1" s="218"/>
      <c r="G1" s="218"/>
    </row>
    <row r="2" spans="1:6" ht="13.5" thickBot="1">
      <c r="A2" s="1" t="s">
        <v>90</v>
      </c>
      <c r="B2" s="2" t="s">
        <v>92</v>
      </c>
      <c r="C2" s="2" t="s">
        <v>87</v>
      </c>
      <c r="D2" s="2" t="s">
        <v>88</v>
      </c>
      <c r="E2" s="2" t="s">
        <v>89</v>
      </c>
      <c r="F2" s="3" t="s">
        <v>91</v>
      </c>
    </row>
    <row r="3" spans="1:6" ht="12.75">
      <c r="A3" s="4"/>
      <c r="B3" s="5"/>
      <c r="C3" s="5"/>
      <c r="D3" s="5"/>
      <c r="E3" s="5"/>
      <c r="F3" s="6"/>
    </row>
    <row r="4" spans="1:6" ht="12.75">
      <c r="A4" s="7"/>
      <c r="B4" s="8"/>
      <c r="C4" s="8"/>
      <c r="D4" s="8"/>
      <c r="E4" s="8"/>
      <c r="F4" s="9"/>
    </row>
    <row r="5" spans="1:6" ht="12.75">
      <c r="A5" s="7"/>
      <c r="B5" s="8"/>
      <c r="C5" s="8"/>
      <c r="D5" s="8"/>
      <c r="E5" s="8"/>
      <c r="F5" s="9"/>
    </row>
    <row r="6" spans="1:6" ht="12.75">
      <c r="A6" s="7"/>
      <c r="B6" s="8"/>
      <c r="C6" s="8"/>
      <c r="D6" s="8"/>
      <c r="E6" s="8"/>
      <c r="F6" s="9"/>
    </row>
    <row r="7" spans="1:6" ht="12.75">
      <c r="A7" s="7"/>
      <c r="B7" s="8"/>
      <c r="C7" s="8"/>
      <c r="D7" s="8"/>
      <c r="E7" s="8"/>
      <c r="F7" s="9"/>
    </row>
    <row r="8" spans="1:6" ht="12.75">
      <c r="A8" s="7"/>
      <c r="B8" s="8"/>
      <c r="C8" s="8"/>
      <c r="D8" s="8"/>
      <c r="E8" s="8"/>
      <c r="F8" s="9"/>
    </row>
    <row r="9" spans="1:6" ht="12.75">
      <c r="A9" s="7"/>
      <c r="B9" s="8"/>
      <c r="C9" s="8"/>
      <c r="D9" s="8"/>
      <c r="E9" s="8"/>
      <c r="F9" s="9"/>
    </row>
    <row r="10" spans="1:6" ht="12.75">
      <c r="A10" s="7"/>
      <c r="B10" s="8"/>
      <c r="C10" s="8"/>
      <c r="D10" s="8"/>
      <c r="E10" s="8"/>
      <c r="F10" s="9"/>
    </row>
    <row r="11" spans="1:6" ht="12.75">
      <c r="A11" s="7"/>
      <c r="B11" s="8"/>
      <c r="C11" s="8"/>
      <c r="D11" s="8"/>
      <c r="E11" s="8"/>
      <c r="F11" s="9"/>
    </row>
    <row r="12" spans="1:6" ht="12.75">
      <c r="A12" s="7"/>
      <c r="B12" s="8"/>
      <c r="C12" s="8"/>
      <c r="D12" s="8"/>
      <c r="E12" s="8"/>
      <c r="F12" s="9"/>
    </row>
    <row r="13" spans="1:6" ht="12.75">
      <c r="A13" s="7"/>
      <c r="B13" s="8"/>
      <c r="C13" s="8"/>
      <c r="D13" s="8"/>
      <c r="E13" s="8"/>
      <c r="F13" s="9"/>
    </row>
    <row r="14" spans="1:6" ht="12.75">
      <c r="A14" s="7"/>
      <c r="B14" s="8"/>
      <c r="C14" s="8"/>
      <c r="D14" s="8"/>
      <c r="E14" s="8"/>
      <c r="F14" s="9"/>
    </row>
    <row r="15" spans="1:6" ht="12.75">
      <c r="A15" s="7"/>
      <c r="B15" s="8"/>
      <c r="C15" s="8"/>
      <c r="D15" s="8"/>
      <c r="E15" s="8"/>
      <c r="F15" s="9"/>
    </row>
    <row r="16" spans="1:6" ht="12.75">
      <c r="A16" s="7"/>
      <c r="B16" s="8"/>
      <c r="C16" s="8"/>
      <c r="D16" s="8"/>
      <c r="E16" s="8"/>
      <c r="F16" s="9"/>
    </row>
    <row r="17" spans="1:6" ht="12.75">
      <c r="A17" s="7"/>
      <c r="B17" s="8"/>
      <c r="C17" s="8"/>
      <c r="D17" s="8"/>
      <c r="E17" s="8"/>
      <c r="F17" s="9"/>
    </row>
    <row r="18" spans="1:6" ht="12.75">
      <c r="A18" s="7"/>
      <c r="B18" s="8"/>
      <c r="C18" s="8"/>
      <c r="D18" s="8"/>
      <c r="E18" s="8"/>
      <c r="F18" s="9"/>
    </row>
    <row r="19" spans="1:6" ht="12.75">
      <c r="A19" s="7"/>
      <c r="B19" s="8"/>
      <c r="C19" s="8"/>
      <c r="D19" s="8"/>
      <c r="E19" s="8"/>
      <c r="F19" s="9"/>
    </row>
    <row r="20" spans="1:6" ht="12.75">
      <c r="A20" s="7"/>
      <c r="B20" s="8"/>
      <c r="C20" s="8"/>
      <c r="D20" s="8"/>
      <c r="E20" s="8"/>
      <c r="F20" s="9"/>
    </row>
    <row r="21" spans="1:6" ht="12.75">
      <c r="A21" s="7"/>
      <c r="B21" s="8"/>
      <c r="C21" s="8"/>
      <c r="D21" s="8"/>
      <c r="E21" s="8"/>
      <c r="F21" s="9"/>
    </row>
    <row r="22" spans="1:6" ht="12.75">
      <c r="A22" s="7"/>
      <c r="B22" s="8"/>
      <c r="C22" s="8"/>
      <c r="D22" s="8"/>
      <c r="E22" s="8"/>
      <c r="F22" s="9"/>
    </row>
    <row r="23" spans="1:6" ht="12.75">
      <c r="A23" s="7"/>
      <c r="B23" s="8"/>
      <c r="C23" s="8"/>
      <c r="D23" s="8"/>
      <c r="E23" s="8"/>
      <c r="F23" s="9"/>
    </row>
    <row r="24" spans="1:6" ht="12.75">
      <c r="A24" s="7"/>
      <c r="B24" s="8"/>
      <c r="C24" s="8"/>
      <c r="D24" s="8"/>
      <c r="E24" s="8"/>
      <c r="F24" s="9"/>
    </row>
    <row r="25" spans="1:6" ht="12.75">
      <c r="A25" s="7"/>
      <c r="B25" s="8"/>
      <c r="C25" s="8"/>
      <c r="D25" s="8"/>
      <c r="E25" s="8"/>
      <c r="F25" s="9"/>
    </row>
    <row r="26" spans="1:6" ht="12.75">
      <c r="A26" s="7"/>
      <c r="B26" s="8"/>
      <c r="C26" s="8"/>
      <c r="D26" s="8"/>
      <c r="E26" s="8"/>
      <c r="F26" s="9"/>
    </row>
    <row r="27" spans="1:6" ht="12.75">
      <c r="A27" s="7"/>
      <c r="B27" s="8"/>
      <c r="C27" s="8"/>
      <c r="D27" s="8"/>
      <c r="E27" s="8"/>
      <c r="F27" s="9"/>
    </row>
    <row r="28" spans="1:6" ht="12.75">
      <c r="A28" s="7"/>
      <c r="B28" s="8"/>
      <c r="C28" s="8"/>
      <c r="D28" s="8"/>
      <c r="E28" s="8"/>
      <c r="F28" s="9"/>
    </row>
    <row r="29" spans="1:6" ht="12.75">
      <c r="A29" s="7"/>
      <c r="B29" s="8"/>
      <c r="C29" s="8"/>
      <c r="D29" s="8"/>
      <c r="E29" s="8"/>
      <c r="F29" s="9"/>
    </row>
    <row r="30" spans="1:6" ht="12.75">
      <c r="A30" s="7"/>
      <c r="B30" s="8"/>
      <c r="C30" s="8"/>
      <c r="D30" s="8"/>
      <c r="E30" s="8"/>
      <c r="F30" s="9"/>
    </row>
    <row r="31" spans="1:6" ht="12.75">
      <c r="A31" s="7"/>
      <c r="B31" s="8"/>
      <c r="C31" s="8"/>
      <c r="D31" s="8"/>
      <c r="E31" s="8"/>
      <c r="F31" s="9"/>
    </row>
    <row r="32" spans="1:6" ht="12.75">
      <c r="A32" s="7"/>
      <c r="B32" s="8"/>
      <c r="C32" s="8"/>
      <c r="D32" s="8"/>
      <c r="E32" s="8"/>
      <c r="F32" s="9"/>
    </row>
    <row r="33" spans="1:6" ht="12.75">
      <c r="A33" s="7"/>
      <c r="B33" s="8"/>
      <c r="C33" s="8"/>
      <c r="D33" s="8"/>
      <c r="E33" s="8"/>
      <c r="F33" s="9"/>
    </row>
    <row r="34" spans="1:6" ht="12.75">
      <c r="A34" s="7"/>
      <c r="B34" s="8"/>
      <c r="C34" s="8"/>
      <c r="D34" s="8"/>
      <c r="E34" s="8"/>
      <c r="F34" s="9"/>
    </row>
    <row r="35" spans="1:6" ht="12.75">
      <c r="A35" s="7"/>
      <c r="B35" s="8"/>
      <c r="C35" s="8"/>
      <c r="D35" s="8"/>
      <c r="E35" s="8"/>
      <c r="F35" s="9"/>
    </row>
    <row r="36" spans="1:6" ht="12.75">
      <c r="A36" s="7"/>
      <c r="B36" s="8"/>
      <c r="C36" s="8"/>
      <c r="D36" s="8"/>
      <c r="E36" s="8"/>
      <c r="F36" s="9"/>
    </row>
    <row r="37" spans="1:6" ht="12.75">
      <c r="A37" s="7"/>
      <c r="B37" s="8"/>
      <c r="C37" s="8"/>
      <c r="D37" s="8"/>
      <c r="E37" s="8"/>
      <c r="F37" s="9"/>
    </row>
    <row r="38" spans="1:6" ht="12.75">
      <c r="A38" s="7"/>
      <c r="B38" s="8"/>
      <c r="C38" s="8"/>
      <c r="D38" s="8"/>
      <c r="E38" s="8"/>
      <c r="F38" s="9"/>
    </row>
    <row r="39" spans="1:6" ht="13.5" thickBot="1">
      <c r="A39" s="10"/>
      <c r="B39" s="11"/>
      <c r="C39" s="11"/>
      <c r="D39" s="11"/>
      <c r="E39" s="11"/>
      <c r="F39" s="12"/>
    </row>
  </sheetData>
  <autoFilter ref="A2:F2"/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 Damien</dc:creator>
  <cp:keywords/>
  <dc:description/>
  <cp:lastModifiedBy>Damien NICOL</cp:lastModifiedBy>
  <dcterms:created xsi:type="dcterms:W3CDTF">2006-11-24T17:55:26Z</dcterms:created>
  <dcterms:modified xsi:type="dcterms:W3CDTF">2007-05-02T23:03:46Z</dcterms:modified>
  <cp:category/>
  <cp:version/>
  <cp:contentType/>
  <cp:contentStatus/>
</cp:coreProperties>
</file>